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\Desktop\"/>
    </mc:Choice>
  </mc:AlternateContent>
  <xr:revisionPtr revIDLastSave="0" documentId="13_ncr:1_{96E43F7D-BD96-4DAB-81E2-6CAA724FD7DB}" xr6:coauthVersionLast="44" xr6:coauthVersionMax="44" xr10:uidLastSave="{00000000-0000-0000-0000-000000000000}"/>
  <bookViews>
    <workbookView xWindow="-120" yWindow="-120" windowWidth="20730" windowHeight="11160" firstSheet="1" activeTab="1" xr2:uid="{1C2AC842-D45D-4384-838E-CA09D87B71F8}"/>
  </bookViews>
  <sheets>
    <sheet name="DB" sheetId="1" state="hidden" r:id="rId1"/>
    <sheet name="試算シート" sheetId="2" r:id="rId2"/>
  </sheets>
  <definedNames>
    <definedName name="_xlnm.Print_Area" localSheetId="1">試算シート!$A$1:$AX$32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0" i="2" l="1"/>
  <c r="O50" i="2"/>
  <c r="R46" i="2"/>
  <c r="T46" i="2" s="1"/>
  <c r="R45" i="2"/>
  <c r="T45" i="2" s="1"/>
  <c r="T47" i="2" s="1"/>
  <c r="G20" i="2" s="1"/>
  <c r="AA15" i="2"/>
  <c r="Y15" i="2"/>
  <c r="H14" i="2"/>
  <c r="G14" i="2"/>
  <c r="F14" i="2"/>
  <c r="D14" i="2"/>
  <c r="AP13" i="2"/>
  <c r="AM13" i="2" s="1"/>
  <c r="AG13" i="2"/>
  <c r="AF13" i="2"/>
  <c r="AJ13" i="2" s="1"/>
  <c r="AK13" i="2" s="1"/>
  <c r="AE13" i="2"/>
  <c r="AB13" i="2"/>
  <c r="AC13" i="2" s="1"/>
  <c r="I13" i="2"/>
  <c r="E13" i="2"/>
  <c r="D13" i="2"/>
  <c r="AP12" i="2"/>
  <c r="AH12" i="2" s="1"/>
  <c r="AM12" i="2"/>
  <c r="AL12" i="2"/>
  <c r="AN12" i="2" s="1"/>
  <c r="AF12" i="2"/>
  <c r="AJ12" i="2" s="1"/>
  <c r="AK12" i="2" s="1"/>
  <c r="AE12" i="2"/>
  <c r="AB12" i="2"/>
  <c r="AC12" i="2" s="1"/>
  <c r="I12" i="2"/>
  <c r="D12" i="2"/>
  <c r="E12" i="2" s="1"/>
  <c r="AP11" i="2"/>
  <c r="AM11" i="2" s="1"/>
  <c r="AF11" i="2"/>
  <c r="AJ11" i="2" s="1"/>
  <c r="AK11" i="2" s="1"/>
  <c r="AE11" i="2"/>
  <c r="AB11" i="2"/>
  <c r="AC11" i="2" s="1"/>
  <c r="I11" i="2"/>
  <c r="D11" i="2"/>
  <c r="E11" i="2" s="1"/>
  <c r="AP10" i="2"/>
  <c r="AH10" i="2" s="1"/>
  <c r="AM10" i="2"/>
  <c r="AF10" i="2"/>
  <c r="AJ10" i="2" s="1"/>
  <c r="AK10" i="2" s="1"/>
  <c r="AE10" i="2"/>
  <c r="AB10" i="2"/>
  <c r="AC10" i="2" s="1"/>
  <c r="I10" i="2"/>
  <c r="E10" i="2"/>
  <c r="D10" i="2"/>
  <c r="AP9" i="2"/>
  <c r="AM9" i="2" s="1"/>
  <c r="AF9" i="2"/>
  <c r="AJ9" i="2" s="1"/>
  <c r="AK9" i="2" s="1"/>
  <c r="AE9" i="2"/>
  <c r="AB9" i="2"/>
  <c r="AC9" i="2" s="1"/>
  <c r="I9" i="2"/>
  <c r="E9" i="2"/>
  <c r="D9" i="2"/>
  <c r="AP8" i="2"/>
  <c r="AH8" i="2" s="1"/>
  <c r="AF8" i="2"/>
  <c r="AJ8" i="2" s="1"/>
  <c r="AE8" i="2"/>
  <c r="AG8" i="2" s="1"/>
  <c r="AB8" i="2"/>
  <c r="AC8" i="2" s="1"/>
  <c r="I8" i="2"/>
  <c r="D8" i="2"/>
  <c r="E8" i="2" s="1"/>
  <c r="AP7" i="2"/>
  <c r="AM7" i="2" s="1"/>
  <c r="AF7" i="2"/>
  <c r="AJ7" i="2" s="1"/>
  <c r="AE7" i="2"/>
  <c r="AG7" i="2" s="1"/>
  <c r="AB7" i="2"/>
  <c r="AC7" i="2" s="1"/>
  <c r="I7" i="2"/>
  <c r="D7" i="2"/>
  <c r="E7" i="2" s="1"/>
  <c r="AP6" i="2"/>
  <c r="AH6" i="2" s="1"/>
  <c r="AF6" i="2"/>
  <c r="AL6" i="2" s="1"/>
  <c r="AE6" i="2"/>
  <c r="AG6" i="2" s="1"/>
  <c r="AB6" i="2"/>
  <c r="AC6" i="2" s="1"/>
  <c r="I6" i="2"/>
  <c r="I14" i="2" s="1"/>
  <c r="D6" i="2"/>
  <c r="AF4" i="2"/>
  <c r="AE4" i="2"/>
  <c r="AC4" i="2"/>
  <c r="AC1" i="2"/>
  <c r="C47" i="1"/>
  <c r="C45" i="1"/>
  <c r="C50" i="1" s="1"/>
  <c r="C43" i="1"/>
  <c r="C39" i="1"/>
  <c r="C42" i="1" s="1"/>
  <c r="C35" i="1"/>
  <c r="C33" i="1"/>
  <c r="C38" i="1" s="1"/>
  <c r="C27" i="1"/>
  <c r="C30" i="1" s="1"/>
  <c r="C23" i="1"/>
  <c r="C21" i="1"/>
  <c r="C26" i="1" s="1"/>
  <c r="C15" i="1"/>
  <c r="C18" i="1" s="1"/>
  <c r="J12" i="1"/>
  <c r="P11" i="1"/>
  <c r="J11" i="1"/>
  <c r="P10" i="1"/>
  <c r="J10" i="1"/>
  <c r="J9" i="1"/>
  <c r="C9" i="1"/>
  <c r="C14" i="1" s="1"/>
  <c r="P8" i="1"/>
  <c r="P7" i="1"/>
  <c r="J7" i="1"/>
  <c r="P6" i="1"/>
  <c r="M6" i="1"/>
  <c r="M7" i="1" s="1"/>
  <c r="M8" i="1" s="1"/>
  <c r="J6" i="1"/>
  <c r="P5" i="1"/>
  <c r="J5" i="1"/>
  <c r="P4" i="1"/>
  <c r="J4" i="1"/>
  <c r="C3" i="1"/>
  <c r="C4" i="1" s="1"/>
  <c r="AG9" i="2" l="1"/>
  <c r="AG10" i="2"/>
  <c r="AI10" i="2" s="1"/>
  <c r="AL10" i="2"/>
  <c r="AN10" i="2" s="1"/>
  <c r="AG11" i="2"/>
  <c r="AG12" i="2"/>
  <c r="AI12" i="2" s="1"/>
  <c r="P13" i="2"/>
  <c r="Q13" i="2" s="1"/>
  <c r="AK7" i="2"/>
  <c r="AK8" i="2"/>
  <c r="P10" i="2"/>
  <c r="Q10" i="2" s="1"/>
  <c r="P12" i="2"/>
  <c r="Q12" i="2" s="1"/>
  <c r="P7" i="2"/>
  <c r="Q7" i="2" s="1"/>
  <c r="P6" i="2"/>
  <c r="Q6" i="2" s="1"/>
  <c r="P35" i="2"/>
  <c r="P8" i="2"/>
  <c r="Q8" i="2" s="1"/>
  <c r="AL8" i="2"/>
  <c r="AM8" i="2"/>
  <c r="Z6" i="2"/>
  <c r="E6" i="2"/>
  <c r="T6" i="2" s="1"/>
  <c r="AM6" i="2"/>
  <c r="AN6" i="2" s="1"/>
  <c r="P9" i="2"/>
  <c r="P11" i="2"/>
  <c r="Q11" i="2" s="1"/>
  <c r="T35" i="2"/>
  <c r="P33" i="2"/>
  <c r="P32" i="2"/>
  <c r="AI8" i="2"/>
  <c r="AI6" i="2"/>
  <c r="V6" i="2"/>
  <c r="AJ6" i="2"/>
  <c r="AH7" i="2"/>
  <c r="AI7" i="2" s="1"/>
  <c r="AL7" i="2"/>
  <c r="AN7" i="2" s="1"/>
  <c r="AH9" i="2"/>
  <c r="AL9" i="2"/>
  <c r="AN9" i="2" s="1"/>
  <c r="AH11" i="2"/>
  <c r="AI11" i="2" s="1"/>
  <c r="AL11" i="2"/>
  <c r="AN11" i="2" s="1"/>
  <c r="AH13" i="2"/>
  <c r="AI13" i="2" s="1"/>
  <c r="AL13" i="2"/>
  <c r="AN13" i="2" s="1"/>
  <c r="P28" i="2"/>
  <c r="R28" i="2" s="1"/>
  <c r="X28" i="2" s="1"/>
  <c r="P29" i="2"/>
  <c r="R29" i="2" s="1"/>
  <c r="X29" i="2" s="1"/>
  <c r="P30" i="2"/>
  <c r="P27" i="2"/>
  <c r="C31" i="1"/>
  <c r="C6" i="1"/>
  <c r="C7" i="1"/>
  <c r="C8" i="1"/>
  <c r="C11" i="1"/>
  <c r="C16" i="1"/>
  <c r="C20" i="1"/>
  <c r="C24" i="1"/>
  <c r="C28" i="1"/>
  <c r="C32" i="1"/>
  <c r="C36" i="1"/>
  <c r="C40" i="1"/>
  <c r="C44" i="1"/>
  <c r="C48" i="1"/>
  <c r="C12" i="1"/>
  <c r="C5" i="1"/>
  <c r="C10" i="1"/>
  <c r="C13" i="1"/>
  <c r="C17" i="1"/>
  <c r="C25" i="1"/>
  <c r="C29" i="1"/>
  <c r="C37" i="1"/>
  <c r="C41" i="1"/>
  <c r="C49" i="1"/>
  <c r="C19" i="1"/>
  <c r="C22" i="1"/>
  <c r="C34" i="1"/>
  <c r="C46" i="1"/>
  <c r="AI9" i="2" l="1"/>
  <c r="AI14" i="2" s="1"/>
  <c r="V27" i="2" s="1"/>
  <c r="Q9" i="2"/>
  <c r="Q14" i="2" s="1"/>
  <c r="AA6" i="2"/>
  <c r="AA14" i="2" s="1"/>
  <c r="AA16" i="2" s="1"/>
  <c r="U6" i="2"/>
  <c r="U14" i="2" s="1"/>
  <c r="U16" i="2" s="1"/>
  <c r="W6" i="2"/>
  <c r="W14" i="2" s="1"/>
  <c r="W16" i="2" s="1"/>
  <c r="AN8" i="2"/>
  <c r="AN14" i="2" s="1"/>
  <c r="P31" i="2" s="1"/>
  <c r="P14" i="2"/>
  <c r="X6" i="2" s="1"/>
  <c r="Y6" i="2" s="1"/>
  <c r="AK6" i="2"/>
  <c r="AK14" i="2" s="1"/>
  <c r="V30" i="2" s="1"/>
  <c r="AJ14" i="2"/>
  <c r="T34" i="2" s="1"/>
  <c r="V35" i="2"/>
  <c r="Q16" i="2" l="1"/>
  <c r="Q15" i="2"/>
  <c r="R30" i="2"/>
  <c r="P34" i="2"/>
  <c r="AB34" i="2" s="1"/>
  <c r="V31" i="2" s="1"/>
  <c r="R6" i="2"/>
  <c r="U27" i="2"/>
  <c r="W27" i="2" s="1"/>
  <c r="X27" i="2" s="1"/>
  <c r="V34" i="2"/>
  <c r="U30" i="2"/>
  <c r="W30" i="2" s="1"/>
  <c r="Y14" i="2"/>
  <c r="Y16" i="2"/>
  <c r="S6" i="2" l="1"/>
  <c r="S14" i="2" s="1"/>
  <c r="S16" i="2" s="1"/>
  <c r="P17" i="2" s="1"/>
  <c r="Z19" i="2" s="1"/>
  <c r="G29" i="2" s="1"/>
  <c r="V33" i="2"/>
  <c r="U33" i="2" s="1"/>
  <c r="W33" i="2" s="1"/>
  <c r="U31" i="2"/>
  <c r="W31" i="2" s="1"/>
  <c r="V32" i="2"/>
  <c r="U32" i="2" s="1"/>
  <c r="W32" i="2" s="1"/>
  <c r="X30" i="2" l="1"/>
  <c r="X34" i="2" s="1"/>
  <c r="F18" i="2" s="1"/>
  <c r="AB31" i="2"/>
  <c r="Z50" i="2" l="1"/>
  <c r="G28" i="2" s="1"/>
  <c r="I28" i="2"/>
  <c r="G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皆木あすか</author>
  </authors>
  <commentList>
    <comment ref="X4" authorId="0" shapeId="0" xr:uid="{8C909D62-011F-44E5-927B-05613FBED3D8}">
      <text>
        <r>
          <rPr>
            <b/>
            <sz val="16"/>
            <color indexed="81"/>
            <rFont val="MS P ゴシック"/>
            <family val="3"/>
            <charset val="128"/>
          </rPr>
          <t>家賃、借地料がある場合、世帯人数による限度額と実費を比較し、いずれか小さい方の額を生活保護基準として算出。</t>
        </r>
      </text>
    </comment>
    <comment ref="P15" authorId="0" shapeId="0" xr:uid="{D4204FBE-6350-4C23-AC9F-37AE0F7AC61A}">
      <text>
        <r>
          <rPr>
            <b/>
            <sz val="11"/>
            <color indexed="81"/>
            <rFont val="MS P ゴシック"/>
            <family val="3"/>
            <charset val="128"/>
          </rPr>
          <t>4人世帯…×0.95
5人以上世帯…×0.9</t>
        </r>
      </text>
    </comment>
    <comment ref="Y16" authorId="0" shapeId="0" xr:uid="{B33E4E04-2A6A-408D-8E91-6CB0E7A31F24}">
      <text>
        <r>
          <rPr>
            <b/>
            <sz val="9"/>
            <color indexed="81"/>
            <rFont val="MS P ゴシック"/>
            <family val="3"/>
            <charset val="128"/>
          </rPr>
          <t>月額×１２と限度額の小さい方</t>
        </r>
      </text>
    </comment>
    <comment ref="X34" authorId="0" shapeId="0" xr:uid="{A83F189F-2D56-4AF5-809A-2FBCC356E2EF}">
      <text>
        <r>
          <rPr>
            <b/>
            <sz val="9"/>
            <color indexed="81"/>
            <rFont val="MS P ゴシック"/>
            <family val="3"/>
            <charset val="128"/>
          </rPr>
          <t>入力値と異なる場合オレンジに反転</t>
        </r>
      </text>
    </comment>
  </commentList>
</comments>
</file>

<file path=xl/sharedStrings.xml><?xml version="1.0" encoding="utf-8"?>
<sst xmlns="http://schemas.openxmlformats.org/spreadsheetml/2006/main" count="165" uniqueCount="137">
  <si>
    <t>生活扶助（１類）</t>
    <rPh sb="0" eb="2">
      <t>セイカツ</t>
    </rPh>
    <rPh sb="2" eb="4">
      <t>フジョ</t>
    </rPh>
    <rPh sb="6" eb="7">
      <t>ルイ</t>
    </rPh>
    <phoneticPr fontId="3"/>
  </si>
  <si>
    <t>生活扶助（2類）</t>
    <rPh sb="0" eb="2">
      <t>セイカツ</t>
    </rPh>
    <rPh sb="2" eb="4">
      <t>フジョ</t>
    </rPh>
    <rPh sb="6" eb="7">
      <t>ルイ</t>
    </rPh>
    <phoneticPr fontId="3"/>
  </si>
  <si>
    <t>教育扶助</t>
    <rPh sb="0" eb="2">
      <t>キョウイク</t>
    </rPh>
    <rPh sb="2" eb="4">
      <t>フジョ</t>
    </rPh>
    <phoneticPr fontId="3"/>
  </si>
  <si>
    <t>母子加算</t>
    <rPh sb="0" eb="4">
      <t>ボシカサン</t>
    </rPh>
    <phoneticPr fontId="3"/>
  </si>
  <si>
    <t>住宅扶助</t>
    <rPh sb="0" eb="2">
      <t>ジュウタク</t>
    </rPh>
    <rPh sb="2" eb="4">
      <t>フジョ</t>
    </rPh>
    <phoneticPr fontId="3"/>
  </si>
  <si>
    <t>人数</t>
    <rPh sb="0" eb="2">
      <t>ニンズウ</t>
    </rPh>
    <phoneticPr fontId="4"/>
  </si>
  <si>
    <t>単価</t>
    <rPh sb="0" eb="2">
      <t>タンカ</t>
    </rPh>
    <phoneticPr fontId="4"/>
  </si>
  <si>
    <t>人数</t>
    <rPh sb="0" eb="2">
      <t>ニンズウ</t>
    </rPh>
    <phoneticPr fontId="3"/>
  </si>
  <si>
    <t>単価</t>
    <rPh sb="0" eb="2">
      <t>タンカ</t>
    </rPh>
    <phoneticPr fontId="3"/>
  </si>
  <si>
    <t>一人親</t>
    <rPh sb="0" eb="3">
      <t>ヒトリオヤ</t>
    </rPh>
    <phoneticPr fontId="3"/>
  </si>
  <si>
    <t>0～2歳</t>
    <rPh sb="3" eb="4">
      <t>サイ</t>
    </rPh>
    <phoneticPr fontId="4"/>
  </si>
  <si>
    <t>小学校</t>
    <rPh sb="0" eb="3">
      <t>ショウガッコウ</t>
    </rPh>
    <phoneticPr fontId="4"/>
  </si>
  <si>
    <t>○</t>
    <phoneticPr fontId="3"/>
  </si>
  <si>
    <t>×</t>
    <phoneticPr fontId="3"/>
  </si>
  <si>
    <t>中学校</t>
    <rPh sb="0" eb="3">
      <t>チュウガッコウ</t>
    </rPh>
    <phoneticPr fontId="4"/>
  </si>
  <si>
    <t>3～5歳</t>
    <phoneticPr fontId="4"/>
  </si>
  <si>
    <t>6～11歳</t>
    <phoneticPr fontId="4"/>
  </si>
  <si>
    <t>12～19歳</t>
    <phoneticPr fontId="4"/>
  </si>
  <si>
    <t>20～40歳</t>
    <phoneticPr fontId="4"/>
  </si>
  <si>
    <t>41～59歳</t>
    <phoneticPr fontId="4"/>
  </si>
  <si>
    <t>60～69歳</t>
    <phoneticPr fontId="4"/>
  </si>
  <si>
    <t>70歳～</t>
    <phoneticPr fontId="4"/>
  </si>
  <si>
    <t>生活保護基準</t>
    <rPh sb="0" eb="2">
      <t>セイカツ</t>
    </rPh>
    <rPh sb="2" eb="4">
      <t>ホゴ</t>
    </rPh>
    <rPh sb="4" eb="6">
      <t>キジュン</t>
    </rPh>
    <phoneticPr fontId="3"/>
  </si>
  <si>
    <t>◆世帯状況</t>
    <rPh sb="1" eb="3">
      <t>セタイ</t>
    </rPh>
    <rPh sb="3" eb="5">
      <t>ジョウキョウ</t>
    </rPh>
    <phoneticPr fontId="3"/>
  </si>
  <si>
    <t>◆生活保護基準から算出した年間生活費(基準日：当該年度４月1日）</t>
    <rPh sb="1" eb="3">
      <t>セイカツ</t>
    </rPh>
    <rPh sb="3" eb="7">
      <t>ホゴキジュン</t>
    </rPh>
    <rPh sb="9" eb="11">
      <t>サンシュツ</t>
    </rPh>
    <rPh sb="13" eb="15">
      <t>ネンカン</t>
    </rPh>
    <rPh sb="15" eb="18">
      <t>セイカツヒ</t>
    </rPh>
    <rPh sb="19" eb="22">
      <t>キジュンビ</t>
    </rPh>
    <rPh sb="23" eb="27">
      <t>トウガイネンド</t>
    </rPh>
    <rPh sb="28" eb="29">
      <t>ガツ</t>
    </rPh>
    <rPh sb="30" eb="31">
      <t>ニチ</t>
    </rPh>
    <phoneticPr fontId="3"/>
  </si>
  <si>
    <t>世帯員</t>
    <rPh sb="0" eb="2">
      <t>セタイ</t>
    </rPh>
    <rPh sb="2" eb="3">
      <t>イン</t>
    </rPh>
    <phoneticPr fontId="3"/>
  </si>
  <si>
    <r>
      <t xml:space="preserve">生年月日
</t>
    </r>
    <r>
      <rPr>
        <sz val="9"/>
        <rFont val="游ゴシック"/>
        <family val="3"/>
        <charset val="128"/>
        <scheme val="minor"/>
      </rPr>
      <t>例 S60.5.1</t>
    </r>
    <rPh sb="0" eb="2">
      <t>セイネン</t>
    </rPh>
    <rPh sb="2" eb="4">
      <t>ガッピ</t>
    </rPh>
    <rPh sb="5" eb="6">
      <t>レイ</t>
    </rPh>
    <phoneticPr fontId="3"/>
  </si>
  <si>
    <t>4/1年齢</t>
    <rPh sb="3" eb="5">
      <t>ネンレイ</t>
    </rPh>
    <phoneticPr fontId="3"/>
  </si>
  <si>
    <t>学年</t>
    <rPh sb="0" eb="2">
      <t>ガクネン</t>
    </rPh>
    <phoneticPr fontId="3"/>
  </si>
  <si>
    <t>前年の
収入額</t>
    <rPh sb="0" eb="2">
      <t>ゼンネン</t>
    </rPh>
    <rPh sb="4" eb="7">
      <t>シュウニュウガク</t>
    </rPh>
    <phoneticPr fontId="3"/>
  </si>
  <si>
    <t>前年の所得税控除額</t>
    <rPh sb="0" eb="2">
      <t>ゼンネン</t>
    </rPh>
    <rPh sb="3" eb="6">
      <t>ショトクゼイ</t>
    </rPh>
    <rPh sb="6" eb="8">
      <t>コウジョ</t>
    </rPh>
    <rPh sb="8" eb="9">
      <t>ガク</t>
    </rPh>
    <phoneticPr fontId="3"/>
  </si>
  <si>
    <t>年齢
範囲</t>
    <rPh sb="0" eb="2">
      <t>ネンレイ</t>
    </rPh>
    <rPh sb="3" eb="5">
      <t>ハンイ</t>
    </rPh>
    <phoneticPr fontId="3"/>
  </si>
  <si>
    <t xml:space="preserve">生活扶助（１類）
</t>
    <rPh sb="0" eb="2">
      <t>セイカツ</t>
    </rPh>
    <rPh sb="2" eb="4">
      <t>フジョ</t>
    </rPh>
    <rPh sb="6" eb="7">
      <t>ルイ</t>
    </rPh>
    <phoneticPr fontId="4"/>
  </si>
  <si>
    <t>生活扶助（2類）
＋冬季加算</t>
    <rPh sb="0" eb="2">
      <t>セイカツ</t>
    </rPh>
    <rPh sb="2" eb="4">
      <t>フジョ</t>
    </rPh>
    <rPh sb="6" eb="7">
      <t>ルイ</t>
    </rPh>
    <rPh sb="10" eb="12">
      <t>トウキ</t>
    </rPh>
    <rPh sb="12" eb="14">
      <t>カサン</t>
    </rPh>
    <phoneticPr fontId="4"/>
  </si>
  <si>
    <t>教育扶助
　小学生　　　　　中学生</t>
    <rPh sb="0" eb="1">
      <t>キョウ</t>
    </rPh>
    <rPh sb="1" eb="2">
      <t>イク</t>
    </rPh>
    <rPh sb="2" eb="3">
      <t>タス</t>
    </rPh>
    <rPh sb="3" eb="4">
      <t>スケ</t>
    </rPh>
    <rPh sb="6" eb="9">
      <t>ショウガクセイ</t>
    </rPh>
    <rPh sb="14" eb="17">
      <t>チュウガクセイ</t>
    </rPh>
    <phoneticPr fontId="4"/>
  </si>
  <si>
    <t xml:space="preserve">住宅扶助
</t>
    <rPh sb="0" eb="2">
      <t>ジュウタク</t>
    </rPh>
    <rPh sb="2" eb="4">
      <t>フジョ</t>
    </rPh>
    <phoneticPr fontId="4"/>
  </si>
  <si>
    <t xml:space="preserve">母子加算
</t>
    <rPh sb="0" eb="4">
      <t>ボシカサン</t>
    </rPh>
    <phoneticPr fontId="3"/>
  </si>
  <si>
    <t>前年度当初
4/1年齢</t>
    <rPh sb="0" eb="3">
      <t>ゼンネンド</t>
    </rPh>
    <rPh sb="3" eb="5">
      <t>トウショ</t>
    </rPh>
    <rPh sb="9" eb="11">
      <t>ネンレイ</t>
    </rPh>
    <phoneticPr fontId="3"/>
  </si>
  <si>
    <t>新生児か</t>
    <rPh sb="0" eb="3">
      <t>シンセイジ</t>
    </rPh>
    <phoneticPr fontId="3"/>
  </si>
  <si>
    <t>2歳→3歳か</t>
    <rPh sb="1" eb="2">
      <t>サイ</t>
    </rPh>
    <rPh sb="4" eb="5">
      <t>サイ</t>
    </rPh>
    <phoneticPr fontId="3"/>
  </si>
  <si>
    <t>1～3月で6歳</t>
    <rPh sb="3" eb="4">
      <t>ガツ</t>
    </rPh>
    <rPh sb="6" eb="7">
      <t>サイ</t>
    </rPh>
    <phoneticPr fontId="3"/>
  </si>
  <si>
    <t>社会保険料</t>
    <rPh sb="0" eb="5">
      <t>シャカイホケンリョウ</t>
    </rPh>
    <phoneticPr fontId="4"/>
  </si>
  <si>
    <t>生命保険料</t>
    <rPh sb="0" eb="2">
      <t>セイメイ</t>
    </rPh>
    <rPh sb="2" eb="5">
      <t>ホケンリョウ</t>
    </rPh>
    <phoneticPr fontId="4"/>
  </si>
  <si>
    <t>控除計</t>
    <rPh sb="0" eb="2">
      <t>コウジョ</t>
    </rPh>
    <rPh sb="2" eb="3">
      <t>ケイ</t>
    </rPh>
    <phoneticPr fontId="4"/>
  </si>
  <si>
    <t>年齢</t>
    <rPh sb="0" eb="2">
      <t>ネンレイ</t>
    </rPh>
    <phoneticPr fontId="3"/>
  </si>
  <si>
    <t>前年当初</t>
    <rPh sb="0" eb="2">
      <t>ゼンネン</t>
    </rPh>
    <rPh sb="2" eb="4">
      <t>トウショ</t>
    </rPh>
    <phoneticPr fontId="3"/>
  </si>
  <si>
    <t>前年末</t>
    <rPh sb="0" eb="2">
      <t>ゼンネン</t>
    </rPh>
    <rPh sb="2" eb="3">
      <t>マツ</t>
    </rPh>
    <phoneticPr fontId="3"/>
  </si>
  <si>
    <t>該当</t>
    <rPh sb="0" eb="2">
      <t>ガイトウ</t>
    </rPh>
    <phoneticPr fontId="3"/>
  </si>
  <si>
    <t>月数</t>
    <rPh sb="0" eb="2">
      <t>ツキスウ</t>
    </rPh>
    <phoneticPr fontId="3"/>
  </si>
  <si>
    <t>誕生月</t>
    <rPh sb="0" eb="2">
      <t>タンジョウ</t>
    </rPh>
    <rPh sb="2" eb="3">
      <t>ツキ</t>
    </rPh>
    <phoneticPr fontId="3"/>
  </si>
  <si>
    <t>合計</t>
    <rPh sb="0" eb="2">
      <t>ゴウケイ</t>
    </rPh>
    <phoneticPr fontId="4"/>
  </si>
  <si>
    <t>←該当する場合は「○」を入力</t>
    <rPh sb="1" eb="3">
      <t>ガイトウ</t>
    </rPh>
    <rPh sb="5" eb="7">
      <t>バアイ</t>
    </rPh>
    <rPh sb="12" eb="14">
      <t>ニュウリョク</t>
    </rPh>
    <phoneticPr fontId="3"/>
  </si>
  <si>
    <t>×逓減率</t>
    <rPh sb="1" eb="4">
      <t>テイゲンリツ</t>
    </rPh>
    <phoneticPr fontId="3"/>
  </si>
  <si>
    <t>(月額×12)</t>
    <rPh sb="1" eb="3">
      <t>ゲツガク</t>
    </rPh>
    <phoneticPr fontId="3"/>
  </si>
  <si>
    <t>×１</t>
    <phoneticPr fontId="3"/>
  </si>
  <si>
    <t>基準額</t>
    <rPh sb="0" eb="3">
      <t>キジュンガク</t>
    </rPh>
    <phoneticPr fontId="3"/>
  </si>
  <si>
    <t>◆前年中に受給した手当等の額</t>
    <rPh sb="1" eb="3">
      <t>ゼンネン</t>
    </rPh>
    <rPh sb="3" eb="4">
      <t>チュウ</t>
    </rPh>
    <rPh sb="5" eb="7">
      <t>ジュキュウ</t>
    </rPh>
    <rPh sb="9" eb="11">
      <t>テアテ</t>
    </rPh>
    <rPh sb="11" eb="12">
      <t>トウ</t>
    </rPh>
    <rPh sb="13" eb="14">
      <t>ガク</t>
    </rPh>
    <phoneticPr fontId="3"/>
  </si>
  <si>
    <t>児童手当</t>
    <rPh sb="0" eb="2">
      <t>ジドウ</t>
    </rPh>
    <rPh sb="2" eb="4">
      <t>テアテ</t>
    </rPh>
    <phoneticPr fontId="3"/>
  </si>
  <si>
    <t>(年額）</t>
    <rPh sb="1" eb="3">
      <t>ネンガク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</si>
  <si>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</si>
  <si>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（前年度決定月額）</t>
    <rPh sb="1" eb="4">
      <t>ゼンネンド</t>
    </rPh>
    <rPh sb="2" eb="3">
      <t>ドシ</t>
    </rPh>
    <rPh sb="3" eb="4">
      <t>ド</t>
    </rPh>
    <rPh sb="4" eb="6">
      <t>ケッテイ</t>
    </rPh>
    <rPh sb="6" eb="8">
      <t>ゲツガク</t>
    </rPh>
    <phoneticPr fontId="3"/>
  </si>
  <si>
    <t>（年額）</t>
    <rPh sb="1" eb="3">
      <t>ネンガク</t>
    </rPh>
    <phoneticPr fontId="3"/>
  </si>
  <si>
    <t>補正×1.5</t>
    <rPh sb="0" eb="2">
      <t>ホセイ</t>
    </rPh>
    <phoneticPr fontId="3"/>
  </si>
  <si>
    <t>　　〃　</t>
    <phoneticPr fontId="3"/>
  </si>
  <si>
    <t>（前々年度決定月額）</t>
    <rPh sb="1" eb="3">
      <t>マエマエ</t>
    </rPh>
    <rPh sb="3" eb="4">
      <t>ドシ</t>
    </rPh>
    <rPh sb="4" eb="5">
      <t>ド</t>
    </rPh>
    <rPh sb="5" eb="7">
      <t>ケッテイ</t>
    </rPh>
    <rPh sb="7" eb="9">
      <t>ゲツガク</t>
    </rPh>
    <phoneticPr fontId="3"/>
  </si>
  <si>
    <t>その他手当</t>
    <rPh sb="2" eb="3">
      <t>タ</t>
    </rPh>
    <rPh sb="3" eb="5">
      <t>テアテ</t>
    </rPh>
    <phoneticPr fontId="3"/>
  </si>
  <si>
    <t>※特別児童扶養手当、特別障害者手当、障害児福祉手当等</t>
    <rPh sb="1" eb="3">
      <t>トクベツ</t>
    </rPh>
    <rPh sb="3" eb="5">
      <t>ジドウ</t>
    </rPh>
    <rPh sb="5" eb="7">
      <t>フヨウ</t>
    </rPh>
    <rPh sb="7" eb="9">
      <t>テアテ</t>
    </rPh>
    <rPh sb="10" eb="12">
      <t>トクベツ</t>
    </rPh>
    <rPh sb="12" eb="15">
      <t>ショウガイシャ</t>
    </rPh>
    <rPh sb="15" eb="17">
      <t>テアテ</t>
    </rPh>
    <rPh sb="18" eb="21">
      <t>ショウガイジ</t>
    </rPh>
    <rPh sb="21" eb="23">
      <t>フクシ</t>
    </rPh>
    <rPh sb="23" eb="25">
      <t>テアテ</t>
    </rPh>
    <rPh sb="25" eb="26">
      <t>トウ</t>
    </rPh>
    <phoneticPr fontId="3"/>
  </si>
  <si>
    <t>養育費・仕送り等</t>
    <rPh sb="0" eb="3">
      <t>ヨウイクヒ</t>
    </rPh>
    <rPh sb="4" eb="6">
      <t>シオク</t>
    </rPh>
    <rPh sb="7" eb="8">
      <t>トウ</t>
    </rPh>
    <phoneticPr fontId="3"/>
  </si>
  <si>
    <t>◆申請日時点の家賃、借地料等</t>
    <rPh sb="1" eb="3">
      <t>シンセイ</t>
    </rPh>
    <rPh sb="3" eb="4">
      <t>ヒ</t>
    </rPh>
    <rPh sb="4" eb="6">
      <t>ジテン</t>
    </rPh>
    <rPh sb="7" eb="9">
      <t>ヤチン</t>
    </rPh>
    <rPh sb="10" eb="13">
      <t>シャクチリョウ</t>
    </rPh>
    <rPh sb="13" eb="14">
      <t>トウ</t>
    </rPh>
    <phoneticPr fontId="3"/>
  </si>
  <si>
    <t>◆児童手当</t>
    <rPh sb="1" eb="3">
      <t>ジドウ</t>
    </rPh>
    <rPh sb="3" eb="5">
      <t>テアテ</t>
    </rPh>
    <phoneticPr fontId="3"/>
  </si>
  <si>
    <t>家賃、借地料等</t>
    <rPh sb="0" eb="2">
      <t>ヤチン</t>
    </rPh>
    <rPh sb="3" eb="5">
      <t>シャクチ</t>
    </rPh>
    <rPh sb="5" eb="6">
      <t>リョウ</t>
    </rPh>
    <rPh sb="6" eb="7">
      <t>トウ</t>
    </rPh>
    <phoneticPr fontId="3"/>
  </si>
  <si>
    <t>（月額）</t>
    <rPh sb="1" eb="3">
      <t>ゲツガク</t>
    </rPh>
    <phoneticPr fontId="3"/>
  </si>
  <si>
    <t>※共益費、駐車場等を除く</t>
    <rPh sb="1" eb="4">
      <t>キョウエキヒ</t>
    </rPh>
    <rPh sb="5" eb="8">
      <t>チュウシャジョウ</t>
    </rPh>
    <rPh sb="8" eb="9">
      <t>トウ</t>
    </rPh>
    <rPh sb="10" eb="11">
      <t>ノゾ</t>
    </rPh>
    <phoneticPr fontId="3"/>
  </si>
  <si>
    <t>所得制限(622万)未満で試算</t>
    <rPh sb="0" eb="2">
      <t>ショトク</t>
    </rPh>
    <rPh sb="2" eb="4">
      <t>セイゲン</t>
    </rPh>
    <rPh sb="8" eb="9">
      <t>マン</t>
    </rPh>
    <rPh sb="10" eb="12">
      <t>ミマン</t>
    </rPh>
    <rPh sb="13" eb="15">
      <t>シサン</t>
    </rPh>
    <phoneticPr fontId="3"/>
  </si>
  <si>
    <t>月額</t>
    <rPh sb="0" eb="2">
      <t>ゲツガク</t>
    </rPh>
    <phoneticPr fontId="3"/>
  </si>
  <si>
    <t>年計</t>
    <rPh sb="0" eb="1">
      <t>ネン</t>
    </rPh>
    <rPh sb="1" eb="2">
      <t>ケイ</t>
    </rPh>
    <phoneticPr fontId="3"/>
  </si>
  <si>
    <t>補正</t>
    <rPh sb="0" eb="2">
      <t>ホセイ</t>
    </rPh>
    <phoneticPr fontId="3"/>
  </si>
  <si>
    <t>計</t>
    <rPh sb="0" eb="1">
      <t>ケイ</t>
    </rPh>
    <phoneticPr fontId="3"/>
  </si>
  <si>
    <t>◆計算結果</t>
    <rPh sb="1" eb="3">
      <t>ケイサン</t>
    </rPh>
    <rPh sb="3" eb="5">
      <t>ケッカ</t>
    </rPh>
    <phoneticPr fontId="3"/>
  </si>
  <si>
    <t>　→0</t>
    <phoneticPr fontId="3"/>
  </si>
  <si>
    <t>出生後の月数</t>
    <rPh sb="0" eb="3">
      <t>シュッショウゴ</t>
    </rPh>
    <rPh sb="4" eb="6">
      <t>ゲッスウ</t>
    </rPh>
    <phoneticPr fontId="3"/>
  </si>
  <si>
    <t>前年の収入から算出した額（A）</t>
    <rPh sb="0" eb="2">
      <t>ゼンネン</t>
    </rPh>
    <rPh sb="3" eb="5">
      <t>シュウニュウ</t>
    </rPh>
    <rPh sb="7" eb="9">
      <t>サンシュツ</t>
    </rPh>
    <rPh sb="11" eb="12">
      <t>ガク</t>
    </rPh>
    <phoneticPr fontId="4"/>
  </si>
  <si>
    <t>0→1</t>
    <phoneticPr fontId="3"/>
  </si>
  <si>
    <t>生活保護基準額より算出した年間生活費（B）</t>
    <rPh sb="0" eb="2">
      <t>セイカツ</t>
    </rPh>
    <rPh sb="2" eb="4">
      <t>ホゴ</t>
    </rPh>
    <rPh sb="4" eb="6">
      <t>キジュン</t>
    </rPh>
    <rPh sb="6" eb="7">
      <t>ガク</t>
    </rPh>
    <rPh sb="9" eb="11">
      <t>サンシュツ</t>
    </rPh>
    <rPh sb="13" eb="15">
      <t>ネンカン</t>
    </rPh>
    <rPh sb="15" eb="18">
      <t>セイカツヒ</t>
    </rPh>
    <phoneticPr fontId="4"/>
  </si>
  <si>
    <t>1→２</t>
    <phoneticPr fontId="3"/>
  </si>
  <si>
    <t>判定結果</t>
    <rPh sb="0" eb="2">
      <t>ハンテイ</t>
    </rPh>
    <rPh sb="2" eb="4">
      <t>ケッカ</t>
    </rPh>
    <phoneticPr fontId="3"/>
  </si>
  <si>
    <t>※A≦Bで認定</t>
    <phoneticPr fontId="3"/>
  </si>
  <si>
    <t>2→3</t>
    <phoneticPr fontId="3"/>
  </si>
  <si>
    <t>3歳誕生月までの月数</t>
    <rPh sb="1" eb="2">
      <t>サイ</t>
    </rPh>
    <rPh sb="2" eb="4">
      <t>タンジョウ</t>
    </rPh>
    <rPh sb="4" eb="5">
      <t>ヅキ</t>
    </rPh>
    <rPh sb="8" eb="10">
      <t>ツキスウ</t>
    </rPh>
    <phoneticPr fontId="3"/>
  </si>
  <si>
    <t>※1</t>
    <phoneticPr fontId="3"/>
  </si>
  <si>
    <t>3～未就学</t>
    <rPh sb="2" eb="5">
      <t>ミシュウガク</t>
    </rPh>
    <phoneticPr fontId="3"/>
  </si>
  <si>
    <t>第３子以降人数</t>
    <rPh sb="0" eb="1">
      <t>ダイ</t>
    </rPh>
    <rPh sb="2" eb="3">
      <t>シ</t>
    </rPh>
    <rPh sb="3" eb="5">
      <t>イコウ</t>
    </rPh>
    <rPh sb="5" eb="7">
      <t>ニンズウ</t>
    </rPh>
    <phoneticPr fontId="3"/>
  </si>
  <si>
    <t>※2</t>
    <phoneticPr fontId="3"/>
  </si>
  <si>
    <t>3歳～高校生</t>
    <rPh sb="1" eb="2">
      <t>サイ</t>
    </rPh>
    <rPh sb="3" eb="6">
      <t>コウコウセイ</t>
    </rPh>
    <phoneticPr fontId="3"/>
  </si>
  <si>
    <t>第3子以降の人数</t>
    <rPh sb="0" eb="1">
      <t>ダイ</t>
    </rPh>
    <rPh sb="2" eb="3">
      <t>シ</t>
    </rPh>
    <rPh sb="3" eb="5">
      <t>イコウ</t>
    </rPh>
    <rPh sb="6" eb="8">
      <t>ニンズウ</t>
    </rPh>
    <phoneticPr fontId="3"/>
  </si>
  <si>
    <t>※判定結果は目安です。実際の判定結果を保証するものではありません。</t>
    <phoneticPr fontId="3"/>
  </si>
  <si>
    <t>小学生</t>
    <rPh sb="0" eb="3">
      <t>ショウガクセイ</t>
    </rPh>
    <phoneticPr fontId="3"/>
  </si>
  <si>
    <t>うち3歳該当児</t>
    <rPh sb="3" eb="4">
      <t>サイ</t>
    </rPh>
    <rPh sb="4" eb="7">
      <t>ガイトウジ</t>
    </rPh>
    <phoneticPr fontId="3"/>
  </si>
  <si>
    <t>中学生</t>
    <rPh sb="0" eb="3">
      <t>チュウガクセイ</t>
    </rPh>
    <phoneticPr fontId="4"/>
  </si>
  <si>
    <t>うち中1該当児</t>
    <rPh sb="2" eb="3">
      <t>チュウ</t>
    </rPh>
    <rPh sb="4" eb="6">
      <t>ガイトウ</t>
    </rPh>
    <rPh sb="6" eb="7">
      <t>ジ</t>
    </rPh>
    <phoneticPr fontId="3"/>
  </si>
  <si>
    <t>３歳～高</t>
    <rPh sb="1" eb="2">
      <t>サイ</t>
    </rPh>
    <rPh sb="3" eb="4">
      <t>タカ</t>
    </rPh>
    <phoneticPr fontId="3"/>
  </si>
  <si>
    <t>非該当</t>
    <rPh sb="0" eb="3">
      <t>ヒガイトウ</t>
    </rPh>
    <phoneticPr fontId="3"/>
  </si>
  <si>
    <t>高校生</t>
    <rPh sb="0" eb="3">
      <t>コウコウセイ</t>
    </rPh>
    <phoneticPr fontId="3"/>
  </si>
  <si>
    <t>3歳</t>
    <rPh sb="1" eb="2">
      <t>サイ</t>
    </rPh>
    <phoneticPr fontId="3"/>
  </si>
  <si>
    <t>第3子以降</t>
    <rPh sb="0" eb="1">
      <t>ダイ</t>
    </rPh>
    <rPh sb="2" eb="3">
      <t>シ</t>
    </rPh>
    <rPh sb="3" eb="5">
      <t>イコウ</t>
    </rPh>
    <phoneticPr fontId="3"/>
  </si>
  <si>
    <t>中1</t>
    <rPh sb="0" eb="1">
      <t>チュウ</t>
    </rPh>
    <phoneticPr fontId="3"/>
  </si>
  <si>
    <t>補正蘭が黄色く反転された場合は、以下確認。</t>
    <rPh sb="0" eb="3">
      <t>ホセイラン</t>
    </rPh>
    <rPh sb="4" eb="6">
      <t>キイロ</t>
    </rPh>
    <rPh sb="7" eb="9">
      <t>ハンテン</t>
    </rPh>
    <rPh sb="12" eb="14">
      <t>バアイ</t>
    </rPh>
    <rPh sb="16" eb="18">
      <t>イカ</t>
    </rPh>
    <rPh sb="18" eb="20">
      <t>カクニン</t>
    </rPh>
    <phoneticPr fontId="3"/>
  </si>
  <si>
    <t>　※1　3歳の誕生月まで15,000円、翌月から10,000円。10,000で試算し、誕生月までは差額として補正（加算）。</t>
    <rPh sb="5" eb="6">
      <t>サイ</t>
    </rPh>
    <rPh sb="7" eb="9">
      <t>タンジョウ</t>
    </rPh>
    <rPh sb="9" eb="10">
      <t>ヅキ</t>
    </rPh>
    <rPh sb="18" eb="19">
      <t>エン</t>
    </rPh>
    <rPh sb="20" eb="22">
      <t>ヨクゲツ</t>
    </rPh>
    <rPh sb="30" eb="31">
      <t>エン</t>
    </rPh>
    <rPh sb="39" eb="41">
      <t>シサン</t>
    </rPh>
    <rPh sb="43" eb="45">
      <t>タンジョウ</t>
    </rPh>
    <rPh sb="45" eb="46">
      <t>ヅキ</t>
    </rPh>
    <rPh sb="49" eb="51">
      <t>サガク</t>
    </rPh>
    <rPh sb="54" eb="56">
      <t>ホセイ</t>
    </rPh>
    <rPh sb="57" eb="59">
      <t>カサン</t>
    </rPh>
    <phoneticPr fontId="3"/>
  </si>
  <si>
    <t>　※2　第3子以降は15,000。10,000で試算し、3子以降は差額を補正（加算）。</t>
    <rPh sb="4" eb="5">
      <t>ダイ</t>
    </rPh>
    <rPh sb="6" eb="7">
      <t>シ</t>
    </rPh>
    <rPh sb="7" eb="9">
      <t>イコウ</t>
    </rPh>
    <rPh sb="24" eb="26">
      <t>シサン</t>
    </rPh>
    <rPh sb="29" eb="30">
      <t>シ</t>
    </rPh>
    <rPh sb="30" eb="32">
      <t>イコウ</t>
    </rPh>
    <rPh sb="33" eb="35">
      <t>サガク</t>
    </rPh>
    <rPh sb="36" eb="38">
      <t>ホセイ</t>
    </rPh>
    <rPh sb="39" eb="41">
      <t>カサン</t>
    </rPh>
    <phoneticPr fontId="3"/>
  </si>
  <si>
    <t>　　 　うち3歳該当児は、誕生月までは15,000円支給のため、5,000×月数×人数を補正（減額）</t>
    <rPh sb="7" eb="8">
      <t>サイ</t>
    </rPh>
    <rPh sb="8" eb="10">
      <t>ガイトウ</t>
    </rPh>
    <rPh sb="10" eb="11">
      <t>ジ</t>
    </rPh>
    <rPh sb="13" eb="15">
      <t>タンジョウ</t>
    </rPh>
    <rPh sb="15" eb="16">
      <t>ヅキ</t>
    </rPh>
    <rPh sb="25" eb="26">
      <t>エン</t>
    </rPh>
    <rPh sb="26" eb="28">
      <t>シキュウ</t>
    </rPh>
    <rPh sb="38" eb="39">
      <t>ガツ</t>
    </rPh>
    <rPh sb="39" eb="40">
      <t>スウ</t>
    </rPh>
    <rPh sb="41" eb="43">
      <t>ニンズウ</t>
    </rPh>
    <rPh sb="44" eb="46">
      <t>ホセイ</t>
    </rPh>
    <rPh sb="47" eb="49">
      <t>ゲンガク</t>
    </rPh>
    <phoneticPr fontId="3"/>
  </si>
  <si>
    <t>　　　  うち中1該当児は、4月以降は10,000になるため、5,000×9月＝45,000円×人数を補正（減額）。</t>
    <rPh sb="7" eb="8">
      <t>チュウ</t>
    </rPh>
    <rPh sb="9" eb="11">
      <t>ガイトウ</t>
    </rPh>
    <rPh sb="11" eb="12">
      <t>ジ</t>
    </rPh>
    <rPh sb="15" eb="16">
      <t>ガツ</t>
    </rPh>
    <rPh sb="16" eb="18">
      <t>イコウ</t>
    </rPh>
    <rPh sb="38" eb="39">
      <t>ツキ</t>
    </rPh>
    <rPh sb="46" eb="47">
      <t>エン</t>
    </rPh>
    <rPh sb="48" eb="50">
      <t>ニンズウ</t>
    </rPh>
    <rPh sb="51" eb="53">
      <t>ホセイ</t>
    </rPh>
    <rPh sb="54" eb="56">
      <t>ゲンガク</t>
    </rPh>
    <phoneticPr fontId="3"/>
  </si>
  <si>
    <t>小学1年</t>
    <rPh sb="0" eb="2">
      <t>ショウガク</t>
    </rPh>
    <rPh sb="3" eb="4">
      <t>ネン</t>
    </rPh>
    <phoneticPr fontId="3"/>
  </si>
  <si>
    <t>7歳になる</t>
    <rPh sb="1" eb="2">
      <t>サイ</t>
    </rPh>
    <phoneticPr fontId="3"/>
  </si>
  <si>
    <t>◆児童扶養手当</t>
    <rPh sb="1" eb="3">
      <t>ジドウ</t>
    </rPh>
    <rPh sb="3" eb="5">
      <t>フヨウ</t>
    </rPh>
    <rPh sb="5" eb="7">
      <t>テアテ</t>
    </rPh>
    <phoneticPr fontId="3"/>
  </si>
  <si>
    <t>小学2年</t>
    <rPh sb="0" eb="2">
      <t>ショウガク</t>
    </rPh>
    <rPh sb="3" eb="4">
      <t>ネン</t>
    </rPh>
    <phoneticPr fontId="3"/>
  </si>
  <si>
    <t>8歳になる</t>
    <rPh sb="1" eb="2">
      <t>サイ</t>
    </rPh>
    <phoneticPr fontId="3"/>
  </si>
  <si>
    <t>合計</t>
    <rPh sb="0" eb="2">
      <t>ゴウケイ</t>
    </rPh>
    <phoneticPr fontId="3"/>
  </si>
  <si>
    <t>小学3年</t>
    <rPh sb="0" eb="2">
      <t>ショウガク</t>
    </rPh>
    <rPh sb="3" eb="4">
      <t>ネン</t>
    </rPh>
    <phoneticPr fontId="3"/>
  </si>
  <si>
    <t>9歳になる</t>
    <rPh sb="1" eb="2">
      <t>サイ</t>
    </rPh>
    <phoneticPr fontId="3"/>
  </si>
  <si>
    <t>前々年度決定分（1～10月分）</t>
    <rPh sb="0" eb="2">
      <t>ゼンゼン</t>
    </rPh>
    <rPh sb="2" eb="4">
      <t>ネンド</t>
    </rPh>
    <rPh sb="3" eb="4">
      <t>ド</t>
    </rPh>
    <rPh sb="4" eb="6">
      <t>ケッテイ</t>
    </rPh>
    <rPh sb="6" eb="7">
      <t>ブン</t>
    </rPh>
    <rPh sb="12" eb="13">
      <t>ガツ</t>
    </rPh>
    <rPh sb="13" eb="14">
      <t>ブン</t>
    </rPh>
    <phoneticPr fontId="3"/>
  </si>
  <si>
    <t>小学4年</t>
    <rPh sb="0" eb="2">
      <t>ショウガク</t>
    </rPh>
    <rPh sb="3" eb="4">
      <t>ネン</t>
    </rPh>
    <phoneticPr fontId="3"/>
  </si>
  <si>
    <t>10歳になる</t>
    <rPh sb="2" eb="3">
      <t>サイ</t>
    </rPh>
    <phoneticPr fontId="3"/>
  </si>
  <si>
    <t>前年度決定分（11～12月分）</t>
    <rPh sb="0" eb="3">
      <t>ゼンネンド</t>
    </rPh>
    <rPh sb="3" eb="5">
      <t>ケッテイ</t>
    </rPh>
    <rPh sb="5" eb="6">
      <t>ブン</t>
    </rPh>
    <rPh sb="12" eb="13">
      <t>ガツ</t>
    </rPh>
    <rPh sb="13" eb="14">
      <t>ブン</t>
    </rPh>
    <phoneticPr fontId="3"/>
  </si>
  <si>
    <t>小学5年</t>
    <rPh sb="0" eb="2">
      <t>ショウガク</t>
    </rPh>
    <rPh sb="3" eb="4">
      <t>ネン</t>
    </rPh>
    <phoneticPr fontId="3"/>
  </si>
  <si>
    <t>11歳になる</t>
    <rPh sb="2" eb="3">
      <t>サイ</t>
    </rPh>
    <phoneticPr fontId="3"/>
  </si>
  <si>
    <t>小学6年</t>
    <rPh sb="0" eb="2">
      <t>ショウガク</t>
    </rPh>
    <rPh sb="3" eb="4">
      <t>ネン</t>
    </rPh>
    <phoneticPr fontId="3"/>
  </si>
  <si>
    <t>12歳になる</t>
    <rPh sb="2" eb="3">
      <t>サイ</t>
    </rPh>
    <phoneticPr fontId="3"/>
  </si>
  <si>
    <t>◆その他手当等</t>
    <rPh sb="3" eb="4">
      <t>タ</t>
    </rPh>
    <rPh sb="4" eb="6">
      <t>テアテ</t>
    </rPh>
    <rPh sb="6" eb="7">
      <t>トウ</t>
    </rPh>
    <phoneticPr fontId="3"/>
  </si>
  <si>
    <t>◆養育費等</t>
    <rPh sb="1" eb="4">
      <t>ヨウイクヒ</t>
    </rPh>
    <rPh sb="4" eb="5">
      <t>トウ</t>
    </rPh>
    <phoneticPr fontId="3"/>
  </si>
  <si>
    <t>中学1年</t>
    <rPh sb="0" eb="2">
      <t>チュウガク</t>
    </rPh>
    <rPh sb="3" eb="4">
      <t>ネン</t>
    </rPh>
    <phoneticPr fontId="3"/>
  </si>
  <si>
    <t>13歳になる</t>
    <rPh sb="2" eb="3">
      <t>サイ</t>
    </rPh>
    <phoneticPr fontId="3"/>
  </si>
  <si>
    <t>中学2年</t>
    <rPh sb="0" eb="2">
      <t>チュウガク</t>
    </rPh>
    <rPh sb="3" eb="4">
      <t>ネン</t>
    </rPh>
    <phoneticPr fontId="3"/>
  </si>
  <si>
    <t>14歳になる</t>
    <rPh sb="2" eb="3">
      <t>サイ</t>
    </rPh>
    <phoneticPr fontId="3"/>
  </si>
  <si>
    <t>前年の収入から算出した額</t>
    <phoneticPr fontId="3"/>
  </si>
  <si>
    <t>中学3年</t>
    <rPh sb="0" eb="2">
      <t>チュウガク</t>
    </rPh>
    <rPh sb="3" eb="4">
      <t>ネン</t>
    </rPh>
    <phoneticPr fontId="3"/>
  </si>
  <si>
    <t>15歳になる</t>
    <rPh sb="2" eb="3">
      <t>サイ</t>
    </rPh>
    <phoneticPr fontId="3"/>
  </si>
  <si>
    <t>就学援助試算シート</t>
    <rPh sb="0" eb="2">
      <t>シュウガク</t>
    </rPh>
    <rPh sb="2" eb="4">
      <t>エンジョ</t>
    </rPh>
    <rPh sb="4" eb="6">
      <t>シサン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</si>
</sst>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General&quot;年度&quot;"/>
    <numFmt numFmtId="178" formatCode="[$-411]ge\.m\.d;@"/>
    <numFmt numFmtId="179" formatCode="#,##0.00_);[Red]\(#,##0.00\)"/>
    <numFmt numFmtId="180" formatCode="#,##0.0_);[Red]\(#,##0.0\)"/>
    <numFmt numFmtId="181" formatCode="#,##0&quot;円&quot;"/>
    <numFmt numFmtId="182" formatCode="#,##0_ "/>
    <numFmt numFmtId="183" formatCode="General&quot;月&quot;"/>
    <numFmt numFmtId="184" formatCode="\(0.00\)"/>
    <numFmt numFmtId="185" formatCode="General&quot;人&quot;"/>
    <numFmt numFmtId="186" formatCode="#,##0_ ;[Red]\-#,##0\ 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i/>
      <sz val="14"/>
      <color theme="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9C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2" fillId="0" borderId="0" xfId="2"/>
    <xf numFmtId="0" fontId="2" fillId="0" borderId="2" xfId="2" applyBorder="1" applyAlignment="1">
      <alignment horizontal="center" vertical="center" textRotation="255"/>
    </xf>
    <xf numFmtId="0" fontId="2" fillId="0" borderId="2" xfId="2" applyBorder="1" applyAlignment="1">
      <alignment horizontal="center" vertical="center"/>
    </xf>
    <xf numFmtId="38" fontId="2" fillId="0" borderId="2" xfId="3" applyFont="1" applyBorder="1" applyAlignment="1">
      <alignment horizontal="center" vertical="center"/>
    </xf>
    <xf numFmtId="0" fontId="2" fillId="0" borderId="2" xfId="2" applyBorder="1"/>
    <xf numFmtId="0" fontId="2" fillId="0" borderId="2" xfId="2" applyBorder="1" applyAlignment="1">
      <alignment vertical="center"/>
    </xf>
    <xf numFmtId="0" fontId="2" fillId="0" borderId="0" xfId="2" applyAlignment="1">
      <alignment vertical="center"/>
    </xf>
    <xf numFmtId="38" fontId="2" fillId="2" borderId="2" xfId="3" applyFont="1" applyFill="1" applyBorder="1">
      <alignment vertical="center"/>
    </xf>
    <xf numFmtId="0" fontId="2" fillId="0" borderId="2" xfId="2" applyBorder="1" applyAlignment="1">
      <alignment horizontal="center" vertical="center" wrapText="1"/>
    </xf>
    <xf numFmtId="0" fontId="2" fillId="0" borderId="0" xfId="2" applyAlignment="1">
      <alignment horizontal="center"/>
    </xf>
    <xf numFmtId="38" fontId="2" fillId="0" borderId="2" xfId="3" applyFont="1" applyBorder="1">
      <alignment vertical="center"/>
    </xf>
    <xf numFmtId="0" fontId="2" fillId="0" borderId="2" xfId="2" applyBorder="1" applyAlignment="1">
      <alignment horizontal="center"/>
    </xf>
    <xf numFmtId="38" fontId="2" fillId="2" borderId="2" xfId="3" applyFont="1" applyFill="1" applyBorder="1" applyAlignment="1"/>
    <xf numFmtId="38" fontId="2" fillId="0" borderId="2" xfId="3" applyFont="1" applyBorder="1" applyAlignment="1"/>
    <xf numFmtId="0" fontId="2" fillId="0" borderId="0" xfId="2" applyAlignment="1">
      <alignment vertical="center" textRotation="255"/>
    </xf>
    <xf numFmtId="38" fontId="2" fillId="0" borderId="0" xfId="3" applyFont="1" applyAlignment="1"/>
    <xf numFmtId="0" fontId="7" fillId="0" borderId="0" xfId="0" applyFont="1">
      <alignment vertical="center"/>
    </xf>
    <xf numFmtId="176" fontId="7" fillId="0" borderId="0" xfId="2" applyNumberFormat="1" applyFont="1" applyAlignment="1">
      <alignment vertical="center"/>
    </xf>
    <xf numFmtId="0" fontId="7" fillId="3" borderId="0" xfId="0" applyFont="1" applyFill="1">
      <alignment vertical="center"/>
    </xf>
    <xf numFmtId="178" fontId="7" fillId="3" borderId="0" xfId="2" applyNumberFormat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>
      <alignment vertical="center"/>
    </xf>
    <xf numFmtId="176" fontId="7" fillId="0" borderId="7" xfId="2" applyNumberFormat="1" applyFont="1" applyBorder="1" applyAlignment="1">
      <alignment vertical="center" wrapText="1" shrinkToFit="1"/>
    </xf>
    <xf numFmtId="176" fontId="7" fillId="3" borderId="11" xfId="2" applyNumberFormat="1" applyFont="1" applyFill="1" applyBorder="1" applyAlignment="1">
      <alignment horizontal="right" vertical="center" wrapText="1" shrinkToFit="1"/>
    </xf>
    <xf numFmtId="178" fontId="9" fillId="3" borderId="12" xfId="2" applyNumberFormat="1" applyFont="1" applyFill="1" applyBorder="1" applyAlignment="1">
      <alignment horizontal="left" vertical="center"/>
    </xf>
    <xf numFmtId="176" fontId="7" fillId="4" borderId="0" xfId="2" applyNumberFormat="1" applyFont="1" applyFill="1" applyAlignment="1">
      <alignment horizontal="center" vertical="center" wrapText="1"/>
    </xf>
    <xf numFmtId="176" fontId="7" fillId="0" borderId="2" xfId="2" applyNumberFormat="1" applyFont="1" applyBorder="1" applyAlignment="1">
      <alignment vertical="center"/>
    </xf>
    <xf numFmtId="176" fontId="9" fillId="4" borderId="2" xfId="2" applyNumberFormat="1" applyFont="1" applyFill="1" applyBorder="1" applyAlignment="1">
      <alignment vertical="center" wrapText="1"/>
    </xf>
    <xf numFmtId="176" fontId="9" fillId="4" borderId="3" xfId="2" applyNumberFormat="1" applyFont="1" applyFill="1" applyBorder="1" applyAlignment="1">
      <alignment horizontal="center" vertical="center" shrinkToFit="1"/>
    </xf>
    <xf numFmtId="176" fontId="9" fillId="4" borderId="2" xfId="2" applyNumberFormat="1" applyFont="1" applyFill="1" applyBorder="1" applyAlignment="1">
      <alignment horizontal="center" vertical="center" shrinkToFit="1"/>
    </xf>
    <xf numFmtId="176" fontId="7" fillId="0" borderId="7" xfId="2" applyNumberFormat="1" applyFont="1" applyBorder="1" applyAlignment="1">
      <alignment vertical="center" shrinkToFit="1"/>
    </xf>
    <xf numFmtId="176" fontId="7" fillId="3" borderId="2" xfId="2" applyNumberFormat="1" applyFont="1" applyFill="1" applyBorder="1" applyAlignment="1">
      <alignment horizontal="center" vertical="center" wrapText="1" shrinkToFit="1"/>
    </xf>
    <xf numFmtId="176" fontId="7" fillId="4" borderId="2" xfId="2" applyNumberFormat="1" applyFont="1" applyFill="1" applyBorder="1" applyAlignment="1">
      <alignment horizontal="center" vertical="center" wrapText="1"/>
    </xf>
    <xf numFmtId="176" fontId="7" fillId="0" borderId="16" xfId="2" applyNumberFormat="1" applyFont="1" applyBorder="1" applyAlignment="1">
      <alignment vertical="center"/>
    </xf>
    <xf numFmtId="176" fontId="7" fillId="0" borderId="17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  <xf numFmtId="176" fontId="7" fillId="0" borderId="13" xfId="2" applyNumberFormat="1" applyFont="1" applyBorder="1" applyAlignment="1">
      <alignment vertical="center"/>
    </xf>
    <xf numFmtId="176" fontId="7" fillId="0" borderId="12" xfId="2" applyNumberFormat="1" applyFont="1" applyBorder="1" applyAlignment="1">
      <alignment vertical="center"/>
    </xf>
    <xf numFmtId="176" fontId="7" fillId="0" borderId="18" xfId="2" applyNumberFormat="1" applyFont="1" applyBorder="1" applyAlignment="1">
      <alignment horizontal="center" vertical="center" shrinkToFit="1"/>
    </xf>
    <xf numFmtId="176" fontId="7" fillId="0" borderId="20" xfId="2" applyNumberFormat="1" applyFont="1" applyBorder="1" applyAlignment="1">
      <alignment horizontal="right" vertical="center" shrinkToFit="1"/>
    </xf>
    <xf numFmtId="176" fontId="7" fillId="5" borderId="21" xfId="2" applyNumberFormat="1" applyFont="1" applyFill="1" applyBorder="1" applyAlignment="1" applyProtection="1">
      <alignment horizontal="right" vertical="center" shrinkToFit="1"/>
      <protection locked="0"/>
    </xf>
    <xf numFmtId="176" fontId="7" fillId="5" borderId="22" xfId="2" applyNumberFormat="1" applyFont="1" applyFill="1" applyBorder="1" applyAlignment="1" applyProtection="1">
      <alignment horizontal="right" vertical="center" shrinkToFit="1"/>
      <protection locked="0"/>
    </xf>
    <xf numFmtId="176" fontId="7" fillId="5" borderId="23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0" xfId="2" applyNumberFormat="1" applyFont="1" applyAlignment="1">
      <alignment horizontal="right" vertical="center" shrinkToFit="1"/>
    </xf>
    <xf numFmtId="176" fontId="7" fillId="0" borderId="0" xfId="2" applyNumberFormat="1" applyFont="1" applyAlignment="1">
      <alignment vertical="center" shrinkToFit="1"/>
    </xf>
    <xf numFmtId="176" fontId="7" fillId="0" borderId="24" xfId="2" applyNumberFormat="1" applyFont="1" applyBorder="1" applyAlignment="1">
      <alignment vertical="center" shrinkToFit="1"/>
    </xf>
    <xf numFmtId="176" fontId="7" fillId="0" borderId="24" xfId="2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2" applyNumberFormat="1" applyFont="1" applyBorder="1" applyAlignment="1">
      <alignment vertical="center"/>
    </xf>
    <xf numFmtId="176" fontId="7" fillId="0" borderId="24" xfId="2" applyNumberFormat="1" applyFont="1" applyBorder="1" applyAlignment="1">
      <alignment horizontal="right" vertical="center" shrinkToFit="1"/>
    </xf>
    <xf numFmtId="176" fontId="7" fillId="0" borderId="24" xfId="2" applyNumberFormat="1" applyFont="1" applyBorder="1" applyAlignment="1">
      <alignment vertical="center" wrapText="1"/>
    </xf>
    <xf numFmtId="176" fontId="7" fillId="3" borderId="2" xfId="2" applyNumberFormat="1" applyFont="1" applyFill="1" applyBorder="1" applyAlignment="1">
      <alignment vertical="center" shrinkToFit="1"/>
    </xf>
    <xf numFmtId="176" fontId="7" fillId="0" borderId="2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vertical="center"/>
    </xf>
    <xf numFmtId="176" fontId="7" fillId="0" borderId="5" xfId="2" applyNumberFormat="1" applyFont="1" applyBorder="1" applyAlignment="1">
      <alignment vertical="center"/>
    </xf>
    <xf numFmtId="176" fontId="7" fillId="0" borderId="25" xfId="2" applyNumberFormat="1" applyFont="1" applyBorder="1" applyAlignment="1">
      <alignment horizontal="center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5" borderId="28" xfId="2" applyNumberFormat="1" applyFont="1" applyFill="1" applyBorder="1" applyAlignment="1" applyProtection="1">
      <alignment horizontal="right" vertical="center" shrinkToFit="1"/>
      <protection locked="0"/>
    </xf>
    <xf numFmtId="176" fontId="7" fillId="5" borderId="29" xfId="2" applyNumberFormat="1" applyFont="1" applyFill="1" applyBorder="1" applyAlignment="1" applyProtection="1">
      <alignment horizontal="right" vertical="center" shrinkToFit="1"/>
      <protection locked="0"/>
    </xf>
    <xf numFmtId="176" fontId="7" fillId="5" borderId="30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29" xfId="2" applyNumberFormat="1" applyFont="1" applyBorder="1" applyAlignment="1">
      <alignment vertical="center" shrinkToFit="1"/>
    </xf>
    <xf numFmtId="176" fontId="7" fillId="0" borderId="29" xfId="2" applyNumberFormat="1" applyFont="1" applyBorder="1" applyAlignment="1">
      <alignment horizontal="right" vertical="center"/>
    </xf>
    <xf numFmtId="176" fontId="7" fillId="0" borderId="29" xfId="0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vertical="center"/>
    </xf>
    <xf numFmtId="176" fontId="7" fillId="0" borderId="29" xfId="2" applyNumberFormat="1" applyFont="1" applyBorder="1" applyAlignment="1">
      <alignment vertical="center" wrapText="1"/>
    </xf>
    <xf numFmtId="178" fontId="7" fillId="5" borderId="2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31" xfId="2" applyNumberFormat="1" applyFont="1" applyBorder="1" applyAlignment="1">
      <alignment horizontal="center" vertical="center" shrinkToFit="1"/>
    </xf>
    <xf numFmtId="178" fontId="7" fillId="5" borderId="32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33" xfId="2" applyNumberFormat="1" applyFont="1" applyBorder="1" applyAlignment="1">
      <alignment horizontal="right" vertical="center" shrinkToFit="1"/>
    </xf>
    <xf numFmtId="176" fontId="7" fillId="5" borderId="34" xfId="2" applyNumberFormat="1" applyFont="1" applyFill="1" applyBorder="1" applyAlignment="1" applyProtection="1">
      <alignment horizontal="right" vertical="center" shrinkToFit="1"/>
      <protection locked="0"/>
    </xf>
    <xf numFmtId="176" fontId="7" fillId="5" borderId="35" xfId="2" applyNumberFormat="1" applyFont="1" applyFill="1" applyBorder="1" applyAlignment="1" applyProtection="1">
      <alignment horizontal="right" vertical="center" shrinkToFit="1"/>
      <protection locked="0"/>
    </xf>
    <xf numFmtId="176" fontId="7" fillId="5" borderId="3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37" xfId="2" applyNumberFormat="1" applyFont="1" applyBorder="1" applyAlignment="1">
      <alignment vertical="center" shrinkToFit="1"/>
    </xf>
    <xf numFmtId="176" fontId="7" fillId="0" borderId="37" xfId="2" applyNumberFormat="1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176" fontId="7" fillId="0" borderId="37" xfId="2" applyNumberFormat="1" applyFont="1" applyBorder="1" applyAlignment="1">
      <alignment vertical="center"/>
    </xf>
    <xf numFmtId="176" fontId="7" fillId="0" borderId="37" xfId="2" applyNumberFormat="1" applyFont="1" applyBorder="1" applyAlignment="1">
      <alignment vertical="center" wrapText="1"/>
    </xf>
    <xf numFmtId="176" fontId="7" fillId="0" borderId="5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176" fontId="7" fillId="0" borderId="7" xfId="2" applyNumberFormat="1" applyFont="1" applyBorder="1" applyAlignment="1">
      <alignment vertical="center"/>
    </xf>
    <xf numFmtId="176" fontId="7" fillId="6" borderId="2" xfId="2" applyNumberFormat="1" applyFont="1" applyFill="1" applyBorder="1" applyAlignment="1">
      <alignment vertical="center" shrinkToFit="1"/>
    </xf>
    <xf numFmtId="176" fontId="7" fillId="6" borderId="2" xfId="2" applyNumberFormat="1" applyFont="1" applyFill="1" applyBorder="1" applyAlignment="1">
      <alignment vertical="center"/>
    </xf>
    <xf numFmtId="176" fontId="7" fillId="6" borderId="2" xfId="2" applyNumberFormat="1" applyFont="1" applyFill="1" applyBorder="1" applyAlignment="1">
      <alignment horizontal="right" vertical="center" shrinkToFit="1"/>
    </xf>
    <xf numFmtId="176" fontId="7" fillId="3" borderId="0" xfId="2" applyNumberFormat="1" applyFont="1" applyFill="1" applyAlignment="1">
      <alignment vertical="center" shrinkToFit="1"/>
    </xf>
    <xf numFmtId="176" fontId="7" fillId="6" borderId="0" xfId="2" applyNumberFormat="1" applyFont="1" applyFill="1" applyAlignment="1">
      <alignment horizontal="right" vertical="center" shrinkToFit="1"/>
    </xf>
    <xf numFmtId="176" fontId="7" fillId="0" borderId="10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 shrinkToFit="1"/>
    </xf>
    <xf numFmtId="179" fontId="7" fillId="0" borderId="10" xfId="2" applyNumberFormat="1" applyFont="1" applyBorder="1" applyAlignment="1">
      <alignment vertical="center"/>
    </xf>
    <xf numFmtId="176" fontId="11" fillId="0" borderId="10" xfId="2" applyNumberFormat="1" applyFont="1" applyBorder="1" applyAlignment="1">
      <alignment horizontal="right" vertical="center"/>
    </xf>
    <xf numFmtId="176" fontId="10" fillId="0" borderId="10" xfId="2" applyNumberFormat="1" applyFont="1" applyBorder="1" applyAlignment="1">
      <alignment vertical="center"/>
    </xf>
    <xf numFmtId="180" fontId="7" fillId="0" borderId="12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vertical="center" shrinkToFit="1"/>
    </xf>
    <xf numFmtId="176" fontId="7" fillId="3" borderId="0" xfId="2" applyNumberFormat="1" applyFont="1" applyFill="1" applyAlignment="1">
      <alignment vertical="center"/>
    </xf>
    <xf numFmtId="176" fontId="7" fillId="6" borderId="0" xfId="2" applyNumberFormat="1" applyFont="1" applyFill="1" applyAlignment="1">
      <alignment vertical="center" shrinkToFit="1"/>
    </xf>
    <xf numFmtId="176" fontId="7" fillId="6" borderId="0" xfId="2" applyNumberFormat="1" applyFont="1" applyFill="1" applyAlignment="1">
      <alignment horizontal="center" vertical="center"/>
    </xf>
    <xf numFmtId="176" fontId="7" fillId="7" borderId="11" xfId="2" applyNumberFormat="1" applyFont="1" applyFill="1" applyBorder="1" applyAlignment="1">
      <alignment vertical="center"/>
    </xf>
    <xf numFmtId="176" fontId="7" fillId="7" borderId="13" xfId="2" applyNumberFormat="1" applyFont="1" applyFill="1" applyBorder="1" applyAlignment="1">
      <alignment vertical="center"/>
    </xf>
    <xf numFmtId="176" fontId="7" fillId="7" borderId="13" xfId="2" applyNumberFormat="1" applyFont="1" applyFill="1" applyBorder="1" applyAlignment="1">
      <alignment horizontal="right" vertical="center"/>
    </xf>
    <xf numFmtId="176" fontId="7" fillId="0" borderId="13" xfId="2" applyNumberFormat="1" applyFont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/>
    </xf>
    <xf numFmtId="176" fontId="7" fillId="7" borderId="18" xfId="2" applyNumberFormat="1" applyFont="1" applyFill="1" applyBorder="1" applyAlignment="1">
      <alignment vertical="center"/>
    </xf>
    <xf numFmtId="176" fontId="7" fillId="7" borderId="42" xfId="2" applyNumberFormat="1" applyFont="1" applyFill="1" applyBorder="1" applyAlignment="1">
      <alignment vertical="center"/>
    </xf>
    <xf numFmtId="176" fontId="7" fillId="7" borderId="20" xfId="2" applyNumberFormat="1" applyFont="1" applyFill="1" applyBorder="1" applyAlignment="1">
      <alignment horizontal="right" vertical="center"/>
    </xf>
    <xf numFmtId="176" fontId="7" fillId="7" borderId="11" xfId="2" applyNumberFormat="1" applyFont="1" applyFill="1" applyBorder="1" applyAlignment="1">
      <alignment vertical="center" shrinkToFit="1"/>
    </xf>
    <xf numFmtId="176" fontId="7" fillId="6" borderId="0" xfId="2" applyNumberFormat="1" applyFont="1" applyFill="1" applyAlignment="1">
      <alignment horizontal="right" vertical="center"/>
    </xf>
    <xf numFmtId="176" fontId="7" fillId="7" borderId="31" xfId="2" applyNumberFormat="1" applyFont="1" applyFill="1" applyBorder="1" applyAlignment="1">
      <alignment vertical="center"/>
    </xf>
    <xf numFmtId="176" fontId="7" fillId="7" borderId="46" xfId="2" applyNumberFormat="1" applyFont="1" applyFill="1" applyBorder="1" applyAlignment="1">
      <alignment horizontal="left" vertical="center"/>
    </xf>
    <xf numFmtId="176" fontId="7" fillId="7" borderId="33" xfId="2" applyNumberFormat="1" applyFont="1" applyFill="1" applyBorder="1" applyAlignment="1">
      <alignment horizontal="right" vertical="center"/>
    </xf>
    <xf numFmtId="176" fontId="7" fillId="7" borderId="13" xfId="2" applyNumberFormat="1" applyFont="1" applyFill="1" applyBorder="1" applyAlignment="1">
      <alignment horizontal="left" vertical="center"/>
    </xf>
    <xf numFmtId="176" fontId="7" fillId="7" borderId="12" xfId="2" applyNumberFormat="1" applyFont="1" applyFill="1" applyBorder="1" applyAlignment="1">
      <alignment horizontal="right" vertical="center"/>
    </xf>
    <xf numFmtId="178" fontId="7" fillId="0" borderId="50" xfId="2" applyNumberFormat="1" applyFont="1" applyBorder="1" applyAlignment="1">
      <alignment vertical="center"/>
    </xf>
    <xf numFmtId="176" fontId="7" fillId="0" borderId="51" xfId="2" applyNumberFormat="1" applyFont="1" applyBorder="1" applyAlignment="1">
      <alignment vertical="center"/>
    </xf>
    <xf numFmtId="0" fontId="7" fillId="0" borderId="51" xfId="0" applyFont="1" applyBorder="1">
      <alignment vertical="center"/>
    </xf>
    <xf numFmtId="176" fontId="12" fillId="3" borderId="0" xfId="2" applyNumberFormat="1" applyFont="1" applyFill="1" applyAlignment="1">
      <alignment vertical="center" shrinkToFit="1"/>
    </xf>
    <xf numFmtId="178" fontId="7" fillId="0" borderId="7" xfId="2" applyNumberFormat="1" applyFont="1" applyBorder="1" applyAlignment="1">
      <alignment vertical="center"/>
    </xf>
    <xf numFmtId="176" fontId="12" fillId="0" borderId="0" xfId="2" applyNumberFormat="1" applyFont="1" applyAlignment="1">
      <alignment vertical="center" shrinkToFit="1"/>
    </xf>
    <xf numFmtId="176" fontId="7" fillId="4" borderId="2" xfId="2" applyNumberFormat="1" applyFont="1" applyFill="1" applyBorder="1" applyAlignment="1">
      <alignment horizontal="center" vertical="center" wrapText="1" shrinkToFit="1"/>
    </xf>
    <xf numFmtId="176" fontId="7" fillId="0" borderId="24" xfId="2" applyNumberFormat="1" applyFont="1" applyBorder="1" applyAlignment="1">
      <alignment horizontal="center" vertical="center" wrapText="1"/>
    </xf>
    <xf numFmtId="176" fontId="7" fillId="0" borderId="24" xfId="2" applyNumberFormat="1" applyFont="1" applyBorder="1" applyAlignment="1">
      <alignment horizontal="center" vertical="center" wrapText="1" shrinkToFit="1"/>
    </xf>
    <xf numFmtId="176" fontId="7" fillId="0" borderId="24" xfId="2" applyNumberFormat="1" applyFont="1" applyBorder="1" applyAlignment="1">
      <alignment horizontal="right" vertical="center" wrapText="1" shrinkToFit="1"/>
    </xf>
    <xf numFmtId="182" fontId="7" fillId="0" borderId="24" xfId="0" applyNumberFormat="1" applyFont="1" applyBorder="1" applyAlignment="1">
      <alignment horizontal="center" vertical="center" shrinkToFit="1"/>
    </xf>
    <xf numFmtId="183" fontId="7" fillId="0" borderId="24" xfId="0" applyNumberFormat="1" applyFont="1" applyBorder="1" applyAlignment="1">
      <alignment horizontal="center" vertical="center"/>
    </xf>
    <xf numFmtId="176" fontId="7" fillId="0" borderId="29" xfId="2" applyNumberFormat="1" applyFont="1" applyBorder="1" applyAlignment="1">
      <alignment horizontal="center" vertical="center" wrapText="1"/>
    </xf>
    <xf numFmtId="176" fontId="7" fillId="0" borderId="29" xfId="2" applyNumberFormat="1" applyFont="1" applyBorder="1" applyAlignment="1">
      <alignment horizontal="center" vertical="center" wrapText="1" shrinkToFit="1"/>
    </xf>
    <xf numFmtId="176" fontId="7" fillId="0" borderId="29" xfId="2" applyNumberFormat="1" applyFont="1" applyBorder="1" applyAlignment="1">
      <alignment horizontal="right" vertical="center" wrapText="1" shrinkToFit="1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176" fontId="7" fillId="0" borderId="53" xfId="2" applyNumberFormat="1" applyFont="1" applyBorder="1" applyAlignment="1">
      <alignment horizontal="center" vertical="center" wrapText="1"/>
    </xf>
    <xf numFmtId="176" fontId="7" fillId="0" borderId="53" xfId="2" applyNumberFormat="1" applyFont="1" applyBorder="1" applyAlignment="1">
      <alignment horizontal="center" vertical="center" wrapText="1" shrinkToFit="1"/>
    </xf>
    <xf numFmtId="176" fontId="7" fillId="0" borderId="53" xfId="2" applyNumberFormat="1" applyFont="1" applyBorder="1" applyAlignment="1">
      <alignment horizontal="right" vertical="center" wrapText="1" shrinkToFit="1"/>
    </xf>
    <xf numFmtId="0" fontId="7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right" vertical="center"/>
    </xf>
    <xf numFmtId="0" fontId="7" fillId="3" borderId="16" xfId="0" applyFont="1" applyFill="1" applyBorder="1">
      <alignment vertical="center"/>
    </xf>
    <xf numFmtId="176" fontId="11" fillId="0" borderId="59" xfId="2" applyNumberFormat="1" applyFont="1" applyBorder="1" applyAlignment="1">
      <alignment horizontal="center" vertical="center" wrapText="1"/>
    </xf>
    <xf numFmtId="176" fontId="7" fillId="0" borderId="59" xfId="2" applyNumberFormat="1" applyFont="1" applyBorder="1" applyAlignment="1">
      <alignment horizontal="center" vertical="center" wrapText="1" shrinkToFit="1"/>
    </xf>
    <xf numFmtId="182" fontId="7" fillId="0" borderId="4" xfId="0" applyNumberFormat="1" applyFont="1" applyBorder="1" applyAlignment="1">
      <alignment horizontal="center" vertical="center" shrinkToFit="1"/>
    </xf>
    <xf numFmtId="185" fontId="7" fillId="0" borderId="4" xfId="0" applyNumberFormat="1" applyFont="1" applyBorder="1" applyAlignment="1">
      <alignment horizontal="center" vertical="center"/>
    </xf>
    <xf numFmtId="186" fontId="7" fillId="0" borderId="4" xfId="0" applyNumberFormat="1" applyFont="1" applyBorder="1">
      <alignment vertical="center"/>
    </xf>
    <xf numFmtId="0" fontId="7" fillId="3" borderId="0" xfId="0" applyFont="1" applyFill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37" xfId="2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5" fontId="7" fillId="0" borderId="5" xfId="0" applyNumberFormat="1" applyFont="1" applyBorder="1" applyAlignment="1">
      <alignment horizontal="center" vertical="center"/>
    </xf>
    <xf numFmtId="186" fontId="7" fillId="0" borderId="5" xfId="0" applyNumberFormat="1" applyFont="1" applyBorder="1">
      <alignment vertical="center"/>
    </xf>
    <xf numFmtId="0" fontId="7" fillId="0" borderId="2" xfId="0" applyFont="1" applyBorder="1" applyAlignment="1">
      <alignment horizontal="right" vertical="center" shrinkToFit="1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185" fontId="7" fillId="0" borderId="0" xfId="0" applyNumberFormat="1" applyFont="1" applyAlignment="1">
      <alignment horizontal="center" vertical="center"/>
    </xf>
    <xf numFmtId="0" fontId="9" fillId="0" borderId="10" xfId="0" applyFont="1" applyBorder="1">
      <alignment vertical="center"/>
    </xf>
    <xf numFmtId="185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 textRotation="255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top"/>
    </xf>
    <xf numFmtId="0" fontId="9" fillId="0" borderId="51" xfId="0" applyFont="1" applyBorder="1" applyAlignment="1">
      <alignment horizontal="center" vertical="center"/>
    </xf>
    <xf numFmtId="0" fontId="9" fillId="0" borderId="51" xfId="0" applyFont="1" applyBorder="1">
      <alignment vertical="center"/>
    </xf>
    <xf numFmtId="185" fontId="7" fillId="0" borderId="0" xfId="0" applyNumberFormat="1" applyFont="1">
      <alignment vertical="center"/>
    </xf>
    <xf numFmtId="0" fontId="7" fillId="10" borderId="0" xfId="0" applyFont="1" applyFill="1">
      <alignment vertical="center"/>
    </xf>
    <xf numFmtId="176" fontId="7" fillId="10" borderId="0" xfId="2" applyNumberFormat="1" applyFont="1" applyFill="1" applyAlignment="1">
      <alignment vertical="center"/>
    </xf>
    <xf numFmtId="0" fontId="7" fillId="7" borderId="2" xfId="0" applyFont="1" applyFill="1" applyBorder="1">
      <alignment vertical="center"/>
    </xf>
    <xf numFmtId="176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16" xfId="0" applyFont="1" applyBorder="1">
      <alignment vertical="center"/>
    </xf>
    <xf numFmtId="176" fontId="7" fillId="11" borderId="0" xfId="2" applyNumberFormat="1" applyFont="1" applyFill="1" applyAlignment="1">
      <alignment vertical="center"/>
    </xf>
    <xf numFmtId="0" fontId="7" fillId="11" borderId="0" xfId="0" applyFont="1" applyFill="1">
      <alignment vertical="center"/>
    </xf>
    <xf numFmtId="0" fontId="7" fillId="11" borderId="0" xfId="0" applyFont="1" applyFill="1" applyAlignment="1">
      <alignment horizontal="left" vertical="center"/>
    </xf>
    <xf numFmtId="176" fontId="7" fillId="11" borderId="0" xfId="2" applyNumberFormat="1" applyFont="1" applyFill="1" applyAlignment="1">
      <alignment horizontal="center"/>
    </xf>
    <xf numFmtId="176" fontId="9" fillId="11" borderId="0" xfId="2" applyNumberFormat="1" applyFont="1" applyFill="1" applyAlignment="1">
      <alignment horizontal="center" vertical="center" shrinkToFit="1"/>
    </xf>
    <xf numFmtId="176" fontId="7" fillId="11" borderId="0" xfId="2" applyNumberFormat="1" applyFont="1" applyFill="1" applyAlignment="1">
      <alignment vertical="center" wrapText="1" shrinkToFit="1"/>
    </xf>
    <xf numFmtId="176" fontId="7" fillId="11" borderId="0" xfId="2" applyNumberFormat="1" applyFont="1" applyFill="1" applyAlignment="1">
      <alignment horizontal="right" vertical="center" shrinkToFit="1"/>
    </xf>
    <xf numFmtId="176" fontId="7" fillId="11" borderId="0" xfId="2" applyNumberFormat="1" applyFont="1" applyFill="1" applyAlignment="1">
      <alignment vertical="center" shrinkToFit="1"/>
    </xf>
    <xf numFmtId="178" fontId="7" fillId="11" borderId="0" xfId="2" applyNumberFormat="1" applyFont="1" applyFill="1" applyAlignment="1">
      <alignment vertical="center"/>
    </xf>
    <xf numFmtId="176" fontId="7" fillId="11" borderId="0" xfId="2" applyNumberFormat="1" applyFont="1" applyFill="1" applyAlignment="1">
      <alignment horizontal="left" vertical="center"/>
    </xf>
    <xf numFmtId="176" fontId="9" fillId="11" borderId="0" xfId="2" applyNumberFormat="1" applyFont="1" applyFill="1" applyAlignment="1">
      <alignment vertical="center" wrapText="1" shrinkToFit="1"/>
    </xf>
    <xf numFmtId="0" fontId="7" fillId="11" borderId="65" xfId="0" applyFont="1" applyFill="1" applyBorder="1">
      <alignment vertical="center"/>
    </xf>
    <xf numFmtId="0" fontId="8" fillId="11" borderId="6" xfId="0" applyFont="1" applyFill="1" applyBorder="1">
      <alignment vertical="center"/>
    </xf>
    <xf numFmtId="0" fontId="7" fillId="11" borderId="6" xfId="0" applyFont="1" applyFill="1" applyBorder="1">
      <alignment vertical="center"/>
    </xf>
    <xf numFmtId="176" fontId="7" fillId="11" borderId="6" xfId="2" applyNumberFormat="1" applyFont="1" applyFill="1" applyBorder="1" applyAlignment="1">
      <alignment vertical="center"/>
    </xf>
    <xf numFmtId="176" fontId="7" fillId="11" borderId="10" xfId="2" applyNumberFormat="1" applyFont="1" applyFill="1" applyBorder="1" applyAlignment="1">
      <alignment vertical="center"/>
    </xf>
    <xf numFmtId="176" fontId="7" fillId="11" borderId="10" xfId="2" applyNumberFormat="1" applyFont="1" applyFill="1" applyBorder="1" applyAlignment="1">
      <alignment vertical="center" shrinkToFit="1"/>
    </xf>
    <xf numFmtId="176" fontId="12" fillId="11" borderId="10" xfId="2" applyNumberFormat="1" applyFont="1" applyFill="1" applyBorder="1" applyAlignment="1">
      <alignment horizontal="right" vertical="center" shrinkToFit="1"/>
    </xf>
    <xf numFmtId="176" fontId="7" fillId="11" borderId="1" xfId="2" applyNumberFormat="1" applyFont="1" applyFill="1" applyBorder="1" applyAlignment="1">
      <alignment vertical="center"/>
    </xf>
    <xf numFmtId="176" fontId="7" fillId="11" borderId="1" xfId="2" applyNumberFormat="1" applyFont="1" applyFill="1" applyBorder="1" applyAlignment="1">
      <alignment vertical="center" shrinkToFit="1"/>
    </xf>
    <xf numFmtId="176" fontId="12" fillId="11" borderId="1" xfId="2" applyNumberFormat="1" applyFont="1" applyFill="1" applyBorder="1" applyAlignment="1">
      <alignment horizontal="right" vertical="center" shrinkToFit="1"/>
    </xf>
    <xf numFmtId="176" fontId="8" fillId="11" borderId="0" xfId="2" applyNumberFormat="1" applyFont="1" applyFill="1" applyAlignment="1">
      <alignment vertical="center"/>
    </xf>
    <xf numFmtId="0" fontId="0" fillId="11" borderId="0" xfId="0" applyFill="1">
      <alignment vertical="center"/>
    </xf>
    <xf numFmtId="176" fontId="16" fillId="11" borderId="0" xfId="2" applyNumberFormat="1" applyFont="1" applyFill="1" applyAlignment="1">
      <alignment vertical="center"/>
    </xf>
    <xf numFmtId="178" fontId="7" fillId="5" borderId="26" xfId="0" applyNumberFormat="1" applyFont="1" applyFill="1" applyBorder="1" applyAlignment="1" applyProtection="1">
      <alignment horizontal="right" vertical="center"/>
      <protection locked="0"/>
    </xf>
    <xf numFmtId="176" fontId="7" fillId="5" borderId="39" xfId="2" applyNumberFormat="1" applyFont="1" applyFill="1" applyBorder="1" applyAlignment="1" applyProtection="1">
      <alignment horizontal="center" vertical="center" shrinkToFit="1"/>
      <protection locked="0"/>
    </xf>
    <xf numFmtId="176" fontId="7" fillId="5" borderId="40" xfId="2" applyNumberFormat="1" applyFont="1" applyFill="1" applyBorder="1" applyAlignment="1" applyProtection="1">
      <alignment vertical="center"/>
      <protection locked="0"/>
    </xf>
    <xf numFmtId="176" fontId="7" fillId="5" borderId="43" xfId="2" applyNumberFormat="1" applyFont="1" applyFill="1" applyBorder="1" applyAlignment="1" applyProtection="1">
      <alignment vertical="center"/>
      <protection locked="0"/>
    </xf>
    <xf numFmtId="176" fontId="7" fillId="5" borderId="47" xfId="2" applyNumberFormat="1" applyFont="1" applyFill="1" applyBorder="1" applyAlignment="1" applyProtection="1">
      <alignment vertical="center"/>
      <protection locked="0"/>
    </xf>
    <xf numFmtId="176" fontId="7" fillId="5" borderId="49" xfId="2" applyNumberFormat="1" applyFont="1" applyFill="1" applyBorder="1" applyAlignment="1" applyProtection="1">
      <alignment vertical="center"/>
      <protection locked="0"/>
    </xf>
    <xf numFmtId="176" fontId="7" fillId="5" borderId="52" xfId="2" applyNumberFormat="1" applyFont="1" applyFill="1" applyBorder="1" applyAlignment="1" applyProtection="1">
      <alignment vertical="center"/>
      <protection locked="0"/>
    </xf>
    <xf numFmtId="176" fontId="7" fillId="5" borderId="39" xfId="2" applyNumberFormat="1" applyFont="1" applyFill="1" applyBorder="1" applyAlignment="1" applyProtection="1">
      <alignment vertical="center"/>
      <protection locked="0"/>
    </xf>
    <xf numFmtId="178" fontId="7" fillId="5" borderId="19" xfId="0" applyNumberFormat="1" applyFont="1" applyFill="1" applyBorder="1" applyAlignment="1" applyProtection="1">
      <alignment horizontal="right" vertical="center"/>
      <protection locked="0"/>
    </xf>
    <xf numFmtId="176" fontId="18" fillId="11" borderId="0" xfId="2" applyNumberFormat="1" applyFont="1" applyFill="1" applyAlignment="1">
      <alignment vertical="center"/>
    </xf>
    <xf numFmtId="181" fontId="18" fillId="11" borderId="0" xfId="2" applyNumberFormat="1" applyFont="1" applyFill="1" applyAlignment="1">
      <alignment vertical="center"/>
    </xf>
    <xf numFmtId="184" fontId="19" fillId="11" borderId="0" xfId="0" applyNumberFormat="1" applyFont="1" applyFill="1" applyAlignment="1">
      <alignment horizontal="left" vertical="center"/>
    </xf>
    <xf numFmtId="176" fontId="6" fillId="0" borderId="2" xfId="2" applyNumberFormat="1" applyFont="1" applyBorder="1" applyAlignment="1">
      <alignment horizontal="center" vertical="center" textRotation="255" shrinkToFit="1"/>
    </xf>
    <xf numFmtId="0" fontId="2" fillId="0" borderId="1" xfId="2" applyBorder="1" applyAlignment="1">
      <alignment horizontal="center"/>
    </xf>
    <xf numFmtId="0" fontId="2" fillId="0" borderId="3" xfId="2" applyBorder="1" applyAlignment="1">
      <alignment horizontal="center" vertical="center" textRotation="255"/>
    </xf>
    <xf numFmtId="0" fontId="2" fillId="0" borderId="4" xfId="2" applyBorder="1" applyAlignment="1">
      <alignment horizontal="center" vertical="center" textRotation="255"/>
    </xf>
    <xf numFmtId="0" fontId="2" fillId="0" borderId="5" xfId="2" applyBorder="1" applyAlignment="1">
      <alignment horizontal="center" vertical="center" textRotation="255"/>
    </xf>
    <xf numFmtId="177" fontId="17" fillId="11" borderId="6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9" fillId="4" borderId="2" xfId="2" applyNumberFormat="1" applyFont="1" applyFill="1" applyBorder="1" applyAlignment="1">
      <alignment horizontal="center" vertical="center" shrinkToFit="1"/>
    </xf>
    <xf numFmtId="176" fontId="9" fillId="4" borderId="2" xfId="2" applyNumberFormat="1" applyFont="1" applyFill="1" applyBorder="1" applyAlignment="1">
      <alignment horizontal="center" vertical="center" wrapText="1" shrinkToFit="1"/>
    </xf>
    <xf numFmtId="176" fontId="9" fillId="4" borderId="3" xfId="2" applyNumberFormat="1" applyFont="1" applyFill="1" applyBorder="1" applyAlignment="1">
      <alignment horizontal="center" vertical="center" wrapText="1" shrinkToFit="1"/>
    </xf>
    <xf numFmtId="178" fontId="9" fillId="4" borderId="2" xfId="2" applyNumberFormat="1" applyFont="1" applyFill="1" applyBorder="1" applyAlignment="1">
      <alignment horizontal="center" vertical="center" wrapText="1" shrinkToFit="1"/>
    </xf>
    <xf numFmtId="176" fontId="9" fillId="4" borderId="2" xfId="2" applyNumberFormat="1" applyFont="1" applyFill="1" applyBorder="1" applyAlignment="1">
      <alignment horizontal="center" wrapText="1"/>
    </xf>
    <xf numFmtId="176" fontId="9" fillId="4" borderId="3" xfId="2" applyNumberFormat="1" applyFont="1" applyFill="1" applyBorder="1" applyAlignment="1">
      <alignment horizontal="center" wrapText="1"/>
    </xf>
    <xf numFmtId="176" fontId="7" fillId="4" borderId="2" xfId="2" applyNumberFormat="1" applyFont="1" applyFill="1" applyBorder="1" applyAlignment="1">
      <alignment horizontal="center"/>
    </xf>
    <xf numFmtId="176" fontId="7" fillId="4" borderId="3" xfId="2" applyNumberFormat="1" applyFont="1" applyFill="1" applyBorder="1" applyAlignment="1">
      <alignment horizontal="center" vertical="center" shrinkToFit="1"/>
    </xf>
    <xf numFmtId="176" fontId="7" fillId="4" borderId="5" xfId="2" applyNumberFormat="1" applyFont="1" applyFill="1" applyBorder="1" applyAlignment="1">
      <alignment horizontal="center" vertical="center" shrinkToFit="1"/>
    </xf>
    <xf numFmtId="176" fontId="7" fillId="4" borderId="8" xfId="2" applyNumberFormat="1" applyFont="1" applyFill="1" applyBorder="1" applyAlignment="1">
      <alignment horizontal="center" vertical="center" wrapText="1" shrinkToFit="1"/>
    </xf>
    <xf numFmtId="176" fontId="7" fillId="4" borderId="9" xfId="2" applyNumberFormat="1" applyFont="1" applyFill="1" applyBorder="1" applyAlignment="1">
      <alignment horizontal="center" vertical="center" wrapText="1" shrinkToFit="1"/>
    </xf>
    <xf numFmtId="176" fontId="7" fillId="4" borderId="14" xfId="2" applyNumberFormat="1" applyFont="1" applyFill="1" applyBorder="1" applyAlignment="1">
      <alignment horizontal="center" vertical="center" wrapText="1" shrinkToFit="1"/>
    </xf>
    <xf numFmtId="176" fontId="7" fillId="4" borderId="15" xfId="2" applyNumberFormat="1" applyFont="1" applyFill="1" applyBorder="1" applyAlignment="1">
      <alignment horizontal="center" vertical="center" wrapText="1" shrinkToFit="1"/>
    </xf>
    <xf numFmtId="176" fontId="7" fillId="0" borderId="44" xfId="2" applyNumberFormat="1" applyFont="1" applyBorder="1" applyAlignment="1">
      <alignment horizontal="right" vertical="center"/>
    </xf>
    <xf numFmtId="176" fontId="7" fillId="0" borderId="45" xfId="2" applyNumberFormat="1" applyFont="1" applyBorder="1" applyAlignment="1">
      <alignment horizontal="right" vertical="center"/>
    </xf>
    <xf numFmtId="176" fontId="7" fillId="4" borderId="10" xfId="2" applyNumberFormat="1" applyFont="1" applyFill="1" applyBorder="1" applyAlignment="1">
      <alignment horizontal="center" vertical="center" wrapText="1" shrinkToFit="1"/>
    </xf>
    <xf numFmtId="176" fontId="7" fillId="4" borderId="1" xfId="2" applyNumberFormat="1" applyFont="1" applyFill="1" applyBorder="1" applyAlignment="1">
      <alignment horizontal="center" vertical="center" wrapText="1" shrinkToFit="1"/>
    </xf>
    <xf numFmtId="176" fontId="7" fillId="4" borderId="8" xfId="2" applyNumberFormat="1" applyFont="1" applyFill="1" applyBorder="1" applyAlignment="1">
      <alignment horizontal="center" vertical="center" wrapText="1"/>
    </xf>
    <xf numFmtId="176" fontId="7" fillId="4" borderId="9" xfId="2" applyNumberFormat="1" applyFont="1" applyFill="1" applyBorder="1" applyAlignment="1">
      <alignment horizontal="center" vertical="center" wrapText="1"/>
    </xf>
    <xf numFmtId="176" fontId="7" fillId="4" borderId="14" xfId="2" applyNumberFormat="1" applyFont="1" applyFill="1" applyBorder="1" applyAlignment="1">
      <alignment horizontal="center" vertical="center" wrapText="1"/>
    </xf>
    <xf numFmtId="176" fontId="7" fillId="4" borderId="15" xfId="2" applyNumberFormat="1" applyFont="1" applyFill="1" applyBorder="1" applyAlignment="1">
      <alignment horizontal="center" vertical="center" wrapText="1"/>
    </xf>
    <xf numFmtId="176" fontId="7" fillId="0" borderId="11" xfId="2" applyNumberFormat="1" applyFont="1" applyBorder="1" applyAlignment="1">
      <alignment horizontal="center" vertical="center"/>
    </xf>
    <xf numFmtId="176" fontId="7" fillId="0" borderId="13" xfId="2" applyNumberFormat="1" applyFont="1" applyBorder="1" applyAlignment="1">
      <alignment horizontal="center" vertical="center"/>
    </xf>
    <xf numFmtId="176" fontId="7" fillId="0" borderId="12" xfId="2" applyNumberFormat="1" applyFont="1" applyBorder="1" applyAlignment="1">
      <alignment horizontal="center" vertical="center"/>
    </xf>
    <xf numFmtId="176" fontId="7" fillId="11" borderId="0" xfId="2" applyNumberFormat="1" applyFont="1" applyFill="1" applyAlignment="1">
      <alignment horizontal="right" vertical="center" shrinkToFit="1"/>
    </xf>
    <xf numFmtId="176" fontId="7" fillId="11" borderId="38" xfId="2" applyNumberFormat="1" applyFont="1" applyFill="1" applyBorder="1" applyAlignment="1">
      <alignment horizontal="right" vertical="center" shrinkToFit="1"/>
    </xf>
    <xf numFmtId="176" fontId="7" fillId="6" borderId="3" xfId="2" applyNumberFormat="1" applyFont="1" applyFill="1" applyBorder="1" applyAlignment="1">
      <alignment horizontal="center" vertical="center" shrinkToFit="1"/>
    </xf>
    <xf numFmtId="176" fontId="7" fillId="6" borderId="5" xfId="2" applyNumberFormat="1" applyFont="1" applyFill="1" applyBorder="1" applyAlignment="1">
      <alignment horizontal="center" vertical="center" shrinkToFit="1"/>
    </xf>
    <xf numFmtId="176" fontId="7" fillId="0" borderId="41" xfId="2" applyNumberFormat="1" applyFont="1" applyBorder="1" applyAlignment="1">
      <alignment horizontal="center" vertical="center"/>
    </xf>
    <xf numFmtId="176" fontId="7" fillId="0" borderId="11" xfId="2" applyNumberFormat="1" applyFont="1" applyBorder="1" applyAlignment="1">
      <alignment horizontal="left" vertical="center"/>
    </xf>
    <xf numFmtId="176" fontId="7" fillId="0" borderId="13" xfId="2" applyNumberFormat="1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left" vertical="center"/>
    </xf>
    <xf numFmtId="181" fontId="18" fillId="11" borderId="48" xfId="2" applyNumberFormat="1" applyFont="1" applyFill="1" applyBorder="1" applyAlignment="1">
      <alignment horizontal="center" vertical="center"/>
    </xf>
    <xf numFmtId="181" fontId="18" fillId="11" borderId="0" xfId="2" applyNumberFormat="1" applyFont="1" applyFill="1" applyAlignment="1">
      <alignment horizontal="center" vertical="center"/>
    </xf>
    <xf numFmtId="176" fontId="7" fillId="7" borderId="11" xfId="2" applyNumberFormat="1" applyFont="1" applyFill="1" applyBorder="1" applyAlignment="1">
      <alignment horizontal="left" vertical="center"/>
    </xf>
    <xf numFmtId="176" fontId="7" fillId="7" borderId="13" xfId="2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0" borderId="1" xfId="2" applyNumberFormat="1" applyFont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176" fontId="7" fillId="0" borderId="18" xfId="0" applyNumberFormat="1" applyFont="1" applyBorder="1" applyAlignment="1">
      <alignment horizontal="right" vertical="center" indent="2"/>
    </xf>
    <xf numFmtId="176" fontId="7" fillId="0" borderId="20" xfId="0" applyNumberFormat="1" applyFont="1" applyBorder="1" applyAlignment="1">
      <alignment horizontal="right" vertical="center" indent="2"/>
    </xf>
    <xf numFmtId="176" fontId="7" fillId="7" borderId="11" xfId="2" applyNumberFormat="1" applyFont="1" applyFill="1" applyBorder="1" applyAlignment="1">
      <alignment horizontal="left" vertical="center" shrinkToFit="1"/>
    </xf>
    <xf numFmtId="176" fontId="7" fillId="7" borderId="13" xfId="2" applyNumberFormat="1" applyFont="1" applyFill="1" applyBorder="1" applyAlignment="1">
      <alignment horizontal="left" vertical="center" shrinkToFit="1"/>
    </xf>
    <xf numFmtId="38" fontId="7" fillId="0" borderId="11" xfId="1" applyFont="1" applyBorder="1" applyAlignment="1">
      <alignment horizontal="right" vertical="center" indent="3" shrinkToFit="1"/>
    </xf>
    <xf numFmtId="38" fontId="7" fillId="0" borderId="12" xfId="1" applyFont="1" applyBorder="1" applyAlignment="1">
      <alignment horizontal="right" vertical="center" indent="3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176" fontId="7" fillId="0" borderId="25" xfId="0" applyNumberFormat="1" applyFont="1" applyBorder="1" applyAlignment="1">
      <alignment horizontal="right" vertical="center" indent="2"/>
    </xf>
    <xf numFmtId="176" fontId="7" fillId="0" borderId="27" xfId="0" applyNumberFormat="1" applyFont="1" applyBorder="1" applyAlignment="1">
      <alignment horizontal="right" vertical="center" indent="2"/>
    </xf>
    <xf numFmtId="0" fontId="7" fillId="4" borderId="13" xfId="0" applyFont="1" applyFill="1" applyBorder="1" applyAlignment="1">
      <alignment horizontal="center" vertical="center"/>
    </xf>
    <xf numFmtId="38" fontId="7" fillId="0" borderId="8" xfId="1" applyFont="1" applyBorder="1" applyAlignment="1">
      <alignment horizontal="right" vertical="center" indent="3" shrinkToFit="1"/>
    </xf>
    <xf numFmtId="38" fontId="7" fillId="0" borderId="9" xfId="1" applyFont="1" applyBorder="1" applyAlignment="1">
      <alignment horizontal="right" vertical="center" indent="3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176" fontId="7" fillId="0" borderId="31" xfId="0" applyNumberFormat="1" applyFont="1" applyBorder="1" applyAlignment="1">
      <alignment horizontal="right" vertical="center" indent="2"/>
    </xf>
    <xf numFmtId="176" fontId="7" fillId="0" borderId="33" xfId="0" applyNumberFormat="1" applyFont="1" applyBorder="1" applyAlignment="1">
      <alignment horizontal="right" vertical="center" indent="2"/>
    </xf>
    <xf numFmtId="0" fontId="8" fillId="7" borderId="11" xfId="0" applyFont="1" applyFill="1" applyBorder="1" applyAlignment="1">
      <alignment horizontal="center" vertical="center" shrinkToFit="1"/>
    </xf>
    <xf numFmtId="0" fontId="8" fillId="7" borderId="13" xfId="0" applyFont="1" applyFill="1" applyBorder="1" applyAlignment="1">
      <alignment horizontal="center" vertical="center" shrinkToFit="1"/>
    </xf>
    <xf numFmtId="176" fontId="8" fillId="8" borderId="54" xfId="2" applyNumberFormat="1" applyFont="1" applyFill="1" applyBorder="1" applyAlignment="1">
      <alignment horizontal="center" vertical="center" shrinkToFit="1"/>
    </xf>
    <xf numFmtId="176" fontId="8" fillId="8" borderId="55" xfId="2" applyNumberFormat="1" applyFont="1" applyFill="1" applyBorder="1" applyAlignment="1">
      <alignment horizontal="center" vertical="center" shrinkToFit="1"/>
    </xf>
    <xf numFmtId="176" fontId="8" fillId="8" borderId="57" xfId="2" applyNumberFormat="1" applyFont="1" applyFill="1" applyBorder="1" applyAlignment="1">
      <alignment horizontal="center" vertical="center" shrinkToFit="1"/>
    </xf>
    <xf numFmtId="176" fontId="8" fillId="8" borderId="58" xfId="2" applyNumberFormat="1" applyFont="1" applyFill="1" applyBorder="1" applyAlignment="1">
      <alignment horizontal="center" vertical="center" shrinkToFit="1"/>
    </xf>
    <xf numFmtId="176" fontId="7" fillId="11" borderId="56" xfId="2" applyNumberFormat="1" applyFont="1" applyFill="1" applyBorder="1" applyAlignment="1">
      <alignment horizontal="left" vertical="center"/>
    </xf>
    <xf numFmtId="176" fontId="7" fillId="11" borderId="0" xfId="2" applyNumberFormat="1" applyFont="1" applyFill="1" applyBorder="1" applyAlignment="1">
      <alignment horizontal="left" vertical="center"/>
    </xf>
    <xf numFmtId="176" fontId="7" fillId="0" borderId="3" xfId="2" applyNumberFormat="1" applyFont="1" applyBorder="1" applyAlignment="1">
      <alignment horizontal="right" vertical="center" wrapText="1" shrinkToFit="1"/>
    </xf>
    <xf numFmtId="176" fontId="7" fillId="0" borderId="4" xfId="2" applyNumberFormat="1" applyFont="1" applyBorder="1" applyAlignment="1">
      <alignment horizontal="right" vertical="center" wrapText="1" shrinkToFit="1"/>
    </xf>
    <xf numFmtId="176" fontId="7" fillId="0" borderId="5" xfId="2" applyNumberFormat="1" applyFont="1" applyBorder="1" applyAlignment="1">
      <alignment horizontal="right" vertical="center" wrapText="1" shrinkToFit="1"/>
    </xf>
    <xf numFmtId="176" fontId="7" fillId="0" borderId="3" xfId="2" applyNumberFormat="1" applyFont="1" applyBorder="1" applyAlignment="1">
      <alignment horizontal="center" vertical="center" wrapText="1" shrinkToFit="1"/>
    </xf>
    <xf numFmtId="176" fontId="7" fillId="0" borderId="4" xfId="2" applyNumberFormat="1" applyFont="1" applyBorder="1" applyAlignment="1">
      <alignment horizontal="center" vertical="center" wrapText="1" shrinkToFit="1"/>
    </xf>
    <xf numFmtId="176" fontId="7" fillId="0" borderId="5" xfId="2" applyNumberFormat="1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6" fontId="7" fillId="0" borderId="8" xfId="0" applyNumberFormat="1" applyFont="1" applyBorder="1" applyAlignment="1">
      <alignment horizontal="right" vertical="center" indent="2" shrinkToFit="1"/>
    </xf>
    <xf numFmtId="176" fontId="7" fillId="0" borderId="9" xfId="0" applyNumberFormat="1" applyFont="1" applyBorder="1" applyAlignment="1">
      <alignment horizontal="right" vertical="center" indent="2" shrinkToFit="1"/>
    </xf>
    <xf numFmtId="176" fontId="7" fillId="0" borderId="16" xfId="0" applyNumberFormat="1" applyFont="1" applyBorder="1" applyAlignment="1">
      <alignment horizontal="right" vertical="center" indent="2" shrinkToFit="1"/>
    </xf>
    <xf numFmtId="176" fontId="7" fillId="0" borderId="17" xfId="0" applyNumberFormat="1" applyFont="1" applyBorder="1" applyAlignment="1">
      <alignment horizontal="right" vertical="center" indent="2" shrinkToFit="1"/>
    </xf>
    <xf numFmtId="176" fontId="7" fillId="0" borderId="14" xfId="0" applyNumberFormat="1" applyFont="1" applyBorder="1" applyAlignment="1">
      <alignment horizontal="right" vertical="center" indent="2" shrinkToFit="1"/>
    </xf>
    <xf numFmtId="176" fontId="7" fillId="0" borderId="15" xfId="0" applyNumberFormat="1" applyFont="1" applyBorder="1" applyAlignment="1">
      <alignment horizontal="right" vertical="center" indent="2" shrinkToFit="1"/>
    </xf>
    <xf numFmtId="0" fontId="9" fillId="0" borderId="60" xfId="0" applyFont="1" applyBorder="1" applyAlignment="1">
      <alignment vertical="center" wrapText="1" shrinkToFit="1"/>
    </xf>
    <xf numFmtId="0" fontId="9" fillId="0" borderId="61" xfId="0" applyFont="1" applyBorder="1" applyAlignment="1">
      <alignment vertical="center" wrapText="1" shrinkToFit="1"/>
    </xf>
    <xf numFmtId="0" fontId="7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right" vertical="center" wrapText="1" shrinkToFit="1"/>
    </xf>
    <xf numFmtId="0" fontId="9" fillId="0" borderId="17" xfId="0" applyFont="1" applyBorder="1" applyAlignment="1">
      <alignment horizontal="right" vertical="center" wrapText="1" shrinkToFit="1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2" fontId="7" fillId="0" borderId="11" xfId="0" applyNumberFormat="1" applyFont="1" applyBorder="1" applyAlignment="1">
      <alignment horizontal="right" vertical="center"/>
    </xf>
    <xf numFmtId="182" fontId="7" fillId="0" borderId="12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 indent="2" shrinkToFit="1"/>
    </xf>
    <xf numFmtId="176" fontId="7" fillId="0" borderId="12" xfId="0" applyNumberFormat="1" applyFont="1" applyBorder="1" applyAlignment="1">
      <alignment horizontal="right" vertical="center" indent="2" shrinkToFit="1"/>
    </xf>
    <xf numFmtId="0" fontId="9" fillId="9" borderId="50" xfId="0" applyFont="1" applyFill="1" applyBorder="1" applyAlignment="1">
      <alignment horizontal="left" vertical="center"/>
    </xf>
    <xf numFmtId="0" fontId="9" fillId="9" borderId="51" xfId="0" applyFont="1" applyFill="1" applyBorder="1" applyAlignment="1">
      <alignment horizontal="left" vertical="center"/>
    </xf>
    <xf numFmtId="0" fontId="9" fillId="9" borderId="66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185" fontId="7" fillId="0" borderId="0" xfId="0" applyNumberFormat="1" applyFont="1" applyAlignment="1">
      <alignment horizontal="right" vertical="center"/>
    </xf>
    <xf numFmtId="0" fontId="7" fillId="9" borderId="62" xfId="0" applyFont="1" applyFill="1" applyBorder="1" applyAlignment="1">
      <alignment horizontal="left" vertical="center"/>
    </xf>
    <xf numFmtId="0" fontId="7" fillId="9" borderId="63" xfId="0" applyFont="1" applyFill="1" applyBorder="1" applyAlignment="1">
      <alignment horizontal="left" vertical="center"/>
    </xf>
    <xf numFmtId="0" fontId="7" fillId="9" borderId="64" xfId="0" applyFont="1" applyFill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9" fillId="9" borderId="65" xfId="0" applyFont="1" applyFill="1" applyBorder="1" applyAlignment="1">
      <alignment horizontal="left" vertical="center"/>
    </xf>
    <xf numFmtId="0" fontId="7" fillId="7" borderId="67" xfId="0" applyFont="1" applyFill="1" applyBorder="1" applyAlignment="1">
      <alignment horizontal="center" vertical="center"/>
    </xf>
    <xf numFmtId="176" fontId="7" fillId="0" borderId="44" xfId="0" applyNumberFormat="1" applyFont="1" applyBorder="1" applyAlignment="1">
      <alignment horizontal="right" vertical="center"/>
    </xf>
    <xf numFmtId="176" fontId="7" fillId="0" borderId="45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 xr:uid="{8C9DCDEE-FCFB-4F33-8825-A6161AEB1D38}"/>
    <cellStyle name="標準" xfId="0" builtinId="0"/>
    <cellStyle name="標準 2" xfId="2" xr:uid="{48D8FCDA-516C-46E2-BE1E-24C1A1B40799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285750</xdr:colOff>
      <xdr:row>33</xdr:row>
      <xdr:rowOff>19050</xdr:rowOff>
    </xdr:from>
    <xdr:to>
      <xdr:col>18</xdr:col>
      <xdr:colOff>285750</xdr:colOff>
      <xdr:row>35</xdr:row>
      <xdr:rowOff>185060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37D2B8F-1B0A-442B-B516-CA1A0C19FD8B}"/>
            </a:ext>
          </a:extLst>
        </xdr:cNvPr>
        <xdr:cNvCxnSpPr/>
      </xdr:nvCxnSpPr>
      <xdr:spPr>
        <a:xfrm flipV="1">
          <a:off x="13820775" y="8296275"/>
          <a:ext cx="0" cy="66131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</xdr:row>
      <xdr:rowOff>15874</xdr:rowOff>
    </xdr:from>
    <xdr:to>
      <xdr:col>49</xdr:col>
      <xdr:colOff>377865</xdr:colOff>
      <xdr:row>15</xdr:row>
      <xdr:rowOff>253999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5CD5CC-FD91-4E03-A68E-F1C137790F67}"/>
            </a:ext>
          </a:extLst>
        </xdr:cNvPr>
        <xdr:cNvSpPr txBox="1"/>
      </xdr:nvSpPr>
      <xdr:spPr>
        <a:xfrm>
          <a:off x="7397750" y="444499"/>
          <a:ext cx="7712115" cy="4841875"/>
        </a:xfrm>
        <a:prstGeom prst="rect">
          <a:avLst/>
        </a:prstGeom>
        <a:solidFill>
          <a:schemeClr val="bg1"/>
        </a:solidFill>
        <a:ln w="34925" cmpd="dbl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u="none">
              <a:latin typeface="+mn-ea"/>
              <a:ea typeface="+mn-ea"/>
            </a:rPr>
            <a:t>入力の仕方（太枠で囲ったピンク色のセルにご入力ください）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① 同居者全員の生年月日を入力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 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別世帯であっても、同居している場合は入力してください。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② 前年の収入、社会保険料控除額、生命保険料控除額を入力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 　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雑所得は所得額を入力してください。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 　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金額は源泉徴収票や確定申告書等をご参照ください。（源泉徴収票については下図参照）</a:t>
          </a:r>
          <a:br>
            <a:rPr kumimoji="1" lang="en-US" altLang="ja-JP" sz="1400">
              <a:latin typeface="+mn-ea"/>
              <a:ea typeface="+mn-ea"/>
            </a:rPr>
          </a:br>
          <a:r>
            <a:rPr kumimoji="1" lang="ja-JP" altLang="en-US" sz="1400">
              <a:latin typeface="+mn-ea"/>
              <a:ea typeface="+mn-ea"/>
            </a:rPr>
            <a:t>③ 一人親の場合、「一人親」の蘭に○を入力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④ 前年中に受給した手当の額を入力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 　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該当がない場合は「</a:t>
          </a:r>
          <a:r>
            <a:rPr kumimoji="1" lang="en-US" altLang="ja-JP" sz="1400">
              <a:latin typeface="+mn-ea"/>
              <a:ea typeface="+mn-ea"/>
            </a:rPr>
            <a:t>0</a:t>
          </a:r>
          <a:r>
            <a:rPr kumimoji="1" lang="ja-JP" altLang="en-US" sz="1400">
              <a:latin typeface="+mn-ea"/>
              <a:ea typeface="+mn-ea"/>
            </a:rPr>
            <a:t>」を入力してください。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 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児童手当は自動で参考数値が反映されますが、異なる場合もありますので、その場合は上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　 書入力してください。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 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児童扶養手当は、受給者証の手当月額を入力してください。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⑤ 家賃・借地料等の額を入力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 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該当がない場合は「０」を入力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以上で入力は終わりです。判定結果をご確認ください。</a:t>
          </a:r>
        </a:p>
      </xdr:txBody>
    </xdr:sp>
    <xdr:clientData/>
  </xdr:twoCellAnchor>
  <xdr:twoCellAnchor>
    <xdr:from>
      <xdr:col>9</xdr:col>
      <xdr:colOff>365125</xdr:colOff>
      <xdr:row>0</xdr:row>
      <xdr:rowOff>349250</xdr:rowOff>
    </xdr:from>
    <xdr:to>
      <xdr:col>49</xdr:col>
      <xdr:colOff>441994</xdr:colOff>
      <xdr:row>15</xdr:row>
      <xdr:rowOff>45954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AB7DFDE0-EDF9-47FD-A835-6EDC17D97650}"/>
            </a:ext>
          </a:extLst>
        </xdr:cNvPr>
        <xdr:cNvSpPr/>
      </xdr:nvSpPr>
      <xdr:spPr>
        <a:xfrm>
          <a:off x="7286625" y="349250"/>
          <a:ext cx="7887369" cy="4729079"/>
        </a:xfrm>
        <a:prstGeom prst="roundRect">
          <a:avLst>
            <a:gd name="adj" fmla="val 5006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269875</xdr:colOff>
      <xdr:row>16</xdr:row>
      <xdr:rowOff>95250</xdr:rowOff>
    </xdr:from>
    <xdr:to>
      <xdr:col>49</xdr:col>
      <xdr:colOff>477866</xdr:colOff>
      <xdr:row>25</xdr:row>
      <xdr:rowOff>286584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6A60D20-9693-47A1-A847-5F79B508A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5" y="5429250"/>
          <a:ext cx="5922991" cy="3001209"/>
        </a:xfrm>
        <a:prstGeom prst="rect">
          <a:avLst/>
        </a:prstGeom>
      </xdr:spPr>
    </xdr:pic>
    <xdr:clientData/>
  </xdr:twoCellAnchor>
  <xdr:twoCellAnchor>
    <xdr:from>
      <xdr:col>48</xdr:col>
      <xdr:colOff>254000</xdr:colOff>
      <xdr:row>15</xdr:row>
      <xdr:rowOff>285750</xdr:rowOff>
    </xdr:from>
    <xdr:to>
      <xdr:col>49</xdr:col>
      <xdr:colOff>306638</xdr:colOff>
      <xdr:row>16</xdr:row>
      <xdr:rowOff>268204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2936D90-CFB4-40F7-817D-08D19995447B}"/>
            </a:ext>
          </a:extLst>
        </xdr:cNvPr>
        <xdr:cNvSpPr txBox="1"/>
      </xdr:nvSpPr>
      <xdr:spPr>
        <a:xfrm>
          <a:off x="14303375" y="5318125"/>
          <a:ext cx="735263" cy="284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参考</a:t>
          </a:r>
        </a:p>
      </xdr:txBody>
    </xdr:sp>
    <xdr:clientData/>
  </xdr:twoCellAnchor>
  <xdr:twoCellAnchor>
    <xdr:from>
      <xdr:col>43</xdr:col>
      <xdr:colOff>317500</xdr:colOff>
      <xdr:row>16</xdr:row>
      <xdr:rowOff>95250</xdr:rowOff>
    </xdr:from>
    <xdr:to>
      <xdr:col>44</xdr:col>
      <xdr:colOff>255238</xdr:colOff>
      <xdr:row>17</xdr:row>
      <xdr:rowOff>221916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8AB346C-E8C6-4A72-89C2-4A6630B4E40F}"/>
            </a:ext>
          </a:extLst>
        </xdr:cNvPr>
        <xdr:cNvSpPr txBox="1"/>
      </xdr:nvSpPr>
      <xdr:spPr>
        <a:xfrm flipH="1">
          <a:off x="10953750" y="5429250"/>
          <a:ext cx="620363" cy="444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endParaRPr kumimoji="1" lang="ja-JP" altLang="en-US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4A75-9664-4076-98DB-1F878564BFAA}">
  <dimension ref="A1:R63"/>
  <sheetViews>
    <sheetView topLeftCell="S1" workbookViewId="0">
      <selection activeCell="AD11" sqref="AD11"/>
    </sheetView>
  </sheetViews>
  <sheetFormatPr defaultRowHeight="18.75"/>
  <cols>
    <col min="1" max="1" width="3.125" style="15" hidden="1" customWidth="1"/>
    <col min="2" max="2" width="4.875" style="10" hidden="1" customWidth="1"/>
    <col min="3" max="3" width="8.375" style="16" hidden="1" customWidth="1"/>
    <col min="4" max="4" width="1.625" style="1" hidden="1" customWidth="1"/>
    <col min="5" max="5" width="4" style="1" hidden="1" customWidth="1"/>
    <col min="6" max="6" width="0" style="1" hidden="1" customWidth="1"/>
    <col min="7" max="7" width="1.75" style="1" hidden="1" customWidth="1"/>
    <col min="8" max="8" width="4" style="1" hidden="1" customWidth="1"/>
    <col min="9" max="9" width="4.625" style="1" hidden="1" customWidth="1"/>
    <col min="10" max="10" width="0" style="1" hidden="1" customWidth="1"/>
    <col min="11" max="11" width="2" style="1" hidden="1" customWidth="1"/>
    <col min="12" max="12" width="4" style="1" hidden="1" customWidth="1"/>
    <col min="13" max="13" width="0" style="1" hidden="1" customWidth="1"/>
    <col min="14" max="14" width="1.75" style="1" hidden="1" customWidth="1"/>
    <col min="15" max="15" width="4.125" style="1" hidden="1" customWidth="1"/>
    <col min="16" max="16" width="0" style="1" hidden="1" customWidth="1"/>
    <col min="17" max="17" width="2.125" style="1" hidden="1" customWidth="1"/>
    <col min="18" max="18" width="0" style="1" hidden="1" customWidth="1"/>
  </cols>
  <sheetData>
    <row r="1" spans="1:18">
      <c r="A1" s="204" t="s">
        <v>0</v>
      </c>
      <c r="B1" s="204"/>
      <c r="C1" s="204"/>
      <c r="E1" s="1" t="s">
        <v>1</v>
      </c>
      <c r="H1" s="1" t="s">
        <v>2</v>
      </c>
      <c r="L1" s="1" t="s">
        <v>3</v>
      </c>
      <c r="O1" s="1" t="s">
        <v>4</v>
      </c>
    </row>
    <row r="2" spans="1:18">
      <c r="A2" s="2"/>
      <c r="B2" s="3" t="s">
        <v>5</v>
      </c>
      <c r="C2" s="4" t="s">
        <v>6</v>
      </c>
      <c r="E2" s="3" t="s">
        <v>5</v>
      </c>
      <c r="F2" s="4" t="s">
        <v>6</v>
      </c>
      <c r="H2" s="5"/>
      <c r="I2" s="4" t="s">
        <v>5</v>
      </c>
      <c r="J2" s="4" t="s">
        <v>6</v>
      </c>
      <c r="L2" s="6" t="s">
        <v>7</v>
      </c>
      <c r="M2" s="3" t="s">
        <v>8</v>
      </c>
      <c r="O2" s="6" t="s">
        <v>7</v>
      </c>
      <c r="P2" s="3" t="s">
        <v>8</v>
      </c>
      <c r="R2" s="7" t="s">
        <v>9</v>
      </c>
    </row>
    <row r="3" spans="1:18">
      <c r="A3" s="203" t="s">
        <v>10</v>
      </c>
      <c r="B3" s="3">
        <v>1</v>
      </c>
      <c r="C3" s="8">
        <f>228240</f>
        <v>228240</v>
      </c>
      <c r="E3" s="3">
        <v>1</v>
      </c>
      <c r="F3" s="8">
        <v>480095</v>
      </c>
      <c r="H3" s="205" t="s">
        <v>11</v>
      </c>
      <c r="I3" s="3">
        <v>1</v>
      </c>
      <c r="J3" s="8">
        <v>25800</v>
      </c>
      <c r="L3" s="3">
        <v>1</v>
      </c>
      <c r="M3" s="8">
        <v>259680</v>
      </c>
      <c r="O3" s="9">
        <v>1</v>
      </c>
      <c r="P3" s="8">
        <v>717600</v>
      </c>
      <c r="R3" s="10" t="s">
        <v>12</v>
      </c>
    </row>
    <row r="4" spans="1:18">
      <c r="A4" s="203"/>
      <c r="B4" s="9">
        <v>2</v>
      </c>
      <c r="C4" s="11">
        <f>$C$3*2</f>
        <v>456480</v>
      </c>
      <c r="E4" s="9">
        <v>2</v>
      </c>
      <c r="F4" s="8">
        <v>532465</v>
      </c>
      <c r="H4" s="206"/>
      <c r="I4" s="9">
        <v>2</v>
      </c>
      <c r="J4" s="11">
        <f>SUM(J3*2)</f>
        <v>51600</v>
      </c>
      <c r="L4" s="3">
        <v>2</v>
      </c>
      <c r="M4" s="8">
        <v>280320</v>
      </c>
      <c r="O4" s="12">
        <v>2</v>
      </c>
      <c r="P4" s="11">
        <f>$P$3</f>
        <v>717600</v>
      </c>
      <c r="R4" s="10" t="s">
        <v>13</v>
      </c>
    </row>
    <row r="5" spans="1:18">
      <c r="A5" s="203"/>
      <c r="B5" s="3">
        <v>3</v>
      </c>
      <c r="C5" s="11">
        <f>$C$3*3</f>
        <v>684720</v>
      </c>
      <c r="E5" s="3">
        <v>3</v>
      </c>
      <c r="F5" s="8">
        <v>590920</v>
      </c>
      <c r="H5" s="206"/>
      <c r="I5" s="3">
        <v>3</v>
      </c>
      <c r="J5" s="11">
        <f>SUM(J3*3)</f>
        <v>77400</v>
      </c>
      <c r="L5" s="3">
        <v>3</v>
      </c>
      <c r="M5" s="8">
        <v>290760</v>
      </c>
      <c r="O5" s="12">
        <v>3</v>
      </c>
      <c r="P5" s="11">
        <f>$P$3</f>
        <v>717600</v>
      </c>
    </row>
    <row r="6" spans="1:18">
      <c r="A6" s="203"/>
      <c r="B6" s="9">
        <v>4</v>
      </c>
      <c r="C6" s="11">
        <f>$C$3*4</f>
        <v>912960</v>
      </c>
      <c r="E6" s="9">
        <v>4</v>
      </c>
      <c r="F6" s="8">
        <v>612650</v>
      </c>
      <c r="H6" s="206"/>
      <c r="I6" s="9">
        <v>4</v>
      </c>
      <c r="J6" s="11">
        <f>SUM(J3*4)</f>
        <v>103200</v>
      </c>
      <c r="L6" s="3">
        <v>4</v>
      </c>
      <c r="M6" s="8">
        <f>M5+870</f>
        <v>291630</v>
      </c>
      <c r="O6" s="12">
        <v>4</v>
      </c>
      <c r="P6" s="11">
        <f>$P$3</f>
        <v>717600</v>
      </c>
    </row>
    <row r="7" spans="1:18">
      <c r="A7" s="203"/>
      <c r="B7" s="3">
        <v>5</v>
      </c>
      <c r="C7" s="11">
        <f>$C$3*5</f>
        <v>1141200</v>
      </c>
      <c r="E7" s="3">
        <v>5</v>
      </c>
      <c r="F7" s="8">
        <v>617825</v>
      </c>
      <c r="H7" s="207"/>
      <c r="I7" s="3">
        <v>5</v>
      </c>
      <c r="J7" s="11">
        <f>SUM(J3*5)</f>
        <v>129000</v>
      </c>
      <c r="L7" s="3">
        <v>5</v>
      </c>
      <c r="M7" s="8">
        <f>M6+870</f>
        <v>292500</v>
      </c>
      <c r="O7" s="12">
        <v>5</v>
      </c>
      <c r="P7" s="11">
        <f>$P$3</f>
        <v>717600</v>
      </c>
    </row>
    <row r="8" spans="1:18">
      <c r="A8" s="203"/>
      <c r="B8" s="9">
        <v>6</v>
      </c>
      <c r="C8" s="11">
        <f>$C$3*6</f>
        <v>1369440</v>
      </c>
      <c r="E8" s="9">
        <v>6</v>
      </c>
      <c r="F8" s="8">
        <v>623000</v>
      </c>
      <c r="H8" s="205" t="s">
        <v>14</v>
      </c>
      <c r="I8" s="3">
        <v>1</v>
      </c>
      <c r="J8" s="8">
        <v>50160</v>
      </c>
      <c r="L8" s="3">
        <v>6</v>
      </c>
      <c r="M8" s="8">
        <f>M7+870</f>
        <v>293370</v>
      </c>
      <c r="O8" s="12">
        <v>6</v>
      </c>
      <c r="P8" s="11">
        <f>$P$3</f>
        <v>717600</v>
      </c>
    </row>
    <row r="9" spans="1:18">
      <c r="A9" s="203" t="s">
        <v>15</v>
      </c>
      <c r="B9" s="3">
        <v>1</v>
      </c>
      <c r="C9" s="8">
        <f>287760</f>
        <v>287760</v>
      </c>
      <c r="E9" s="3">
        <v>7</v>
      </c>
      <c r="F9" s="8">
        <v>628175</v>
      </c>
      <c r="H9" s="206"/>
      <c r="I9" s="9">
        <v>2</v>
      </c>
      <c r="J9" s="11">
        <f>SUM(J8*2)</f>
        <v>100320</v>
      </c>
      <c r="O9" s="12">
        <v>7</v>
      </c>
      <c r="P9" s="13">
        <v>861600</v>
      </c>
    </row>
    <row r="10" spans="1:18">
      <c r="A10" s="203"/>
      <c r="B10" s="9">
        <v>2</v>
      </c>
      <c r="C10" s="11">
        <f>$C$9*2</f>
        <v>575520</v>
      </c>
      <c r="E10" s="9">
        <v>8</v>
      </c>
      <c r="F10" s="8">
        <v>633350</v>
      </c>
      <c r="H10" s="206"/>
      <c r="I10" s="3">
        <v>3</v>
      </c>
      <c r="J10" s="11">
        <f>SUM(J8*3)</f>
        <v>150480</v>
      </c>
      <c r="O10" s="12">
        <v>8</v>
      </c>
      <c r="P10" s="14">
        <f>$P$9</f>
        <v>861600</v>
      </c>
    </row>
    <row r="11" spans="1:18">
      <c r="A11" s="203"/>
      <c r="B11" s="3">
        <v>3</v>
      </c>
      <c r="C11" s="11">
        <f>$C$9*3</f>
        <v>863280</v>
      </c>
      <c r="E11" s="3">
        <v>9</v>
      </c>
      <c r="F11" s="8">
        <v>638525</v>
      </c>
      <c r="H11" s="206"/>
      <c r="I11" s="9">
        <v>4</v>
      </c>
      <c r="J11" s="11">
        <f>SUM(J8*4)</f>
        <v>200640</v>
      </c>
      <c r="O11" s="12">
        <v>9</v>
      </c>
      <c r="P11" s="14">
        <f>$P$9</f>
        <v>861600</v>
      </c>
    </row>
    <row r="12" spans="1:18">
      <c r="A12" s="203"/>
      <c r="B12" s="9">
        <v>4</v>
      </c>
      <c r="C12" s="11">
        <f>$C$9*4</f>
        <v>1151040</v>
      </c>
      <c r="E12" s="9">
        <v>10</v>
      </c>
      <c r="F12" s="8">
        <v>643700</v>
      </c>
      <c r="H12" s="207"/>
      <c r="I12" s="3">
        <v>5</v>
      </c>
      <c r="J12" s="11">
        <f>SUM(J8*5)</f>
        <v>250800</v>
      </c>
    </row>
    <row r="13" spans="1:18">
      <c r="A13" s="203"/>
      <c r="B13" s="3">
        <v>5</v>
      </c>
      <c r="C13" s="11">
        <f>$C$9*5</f>
        <v>1438800</v>
      </c>
    </row>
    <row r="14" spans="1:18">
      <c r="A14" s="203"/>
      <c r="B14" s="9">
        <v>6</v>
      </c>
      <c r="C14" s="11">
        <f>$C$9*6</f>
        <v>1726560</v>
      </c>
    </row>
    <row r="15" spans="1:18">
      <c r="A15" s="203" t="s">
        <v>16</v>
      </c>
      <c r="B15" s="3">
        <v>1</v>
      </c>
      <c r="C15" s="8">
        <f>372000</f>
        <v>372000</v>
      </c>
    </row>
    <row r="16" spans="1:18">
      <c r="A16" s="203"/>
      <c r="B16" s="9">
        <v>2</v>
      </c>
      <c r="C16" s="11">
        <f>$C$15*2</f>
        <v>744000</v>
      </c>
    </row>
    <row r="17" spans="1:3">
      <c r="A17" s="203"/>
      <c r="B17" s="3">
        <v>3</v>
      </c>
      <c r="C17" s="11">
        <f>$C$15*3</f>
        <v>1116000</v>
      </c>
    </row>
    <row r="18" spans="1:3">
      <c r="A18" s="203"/>
      <c r="B18" s="9">
        <v>4</v>
      </c>
      <c r="C18" s="11">
        <f>$C$15*4</f>
        <v>1488000</v>
      </c>
    </row>
    <row r="19" spans="1:3">
      <c r="A19" s="203"/>
      <c r="B19" s="3">
        <v>5</v>
      </c>
      <c r="C19" s="11">
        <f>$C$15*5</f>
        <v>1860000</v>
      </c>
    </row>
    <row r="20" spans="1:3">
      <c r="A20" s="203"/>
      <c r="B20" s="9">
        <v>6</v>
      </c>
      <c r="C20" s="11">
        <f>$C$15*6</f>
        <v>2232000</v>
      </c>
    </row>
    <row r="21" spans="1:3">
      <c r="A21" s="203" t="s">
        <v>17</v>
      </c>
      <c r="B21" s="3">
        <v>1</v>
      </c>
      <c r="C21" s="8">
        <f>459480</f>
        <v>459480</v>
      </c>
    </row>
    <row r="22" spans="1:3">
      <c r="A22" s="203"/>
      <c r="B22" s="9">
        <v>2</v>
      </c>
      <c r="C22" s="11">
        <f>$C$21*2</f>
        <v>918960</v>
      </c>
    </row>
    <row r="23" spans="1:3">
      <c r="A23" s="203"/>
      <c r="B23" s="3">
        <v>3</v>
      </c>
      <c r="C23" s="11">
        <f>$C$21*3</f>
        <v>1378440</v>
      </c>
    </row>
    <row r="24" spans="1:3">
      <c r="A24" s="203"/>
      <c r="B24" s="9">
        <v>4</v>
      </c>
      <c r="C24" s="11">
        <f>$C$21*4</f>
        <v>1837920</v>
      </c>
    </row>
    <row r="25" spans="1:3">
      <c r="A25" s="203"/>
      <c r="B25" s="3">
        <v>5</v>
      </c>
      <c r="C25" s="11">
        <f>$C$21*5</f>
        <v>2297400</v>
      </c>
    </row>
    <row r="26" spans="1:3">
      <c r="A26" s="203"/>
      <c r="B26" s="9">
        <v>6</v>
      </c>
      <c r="C26" s="11">
        <f>$C$21*6</f>
        <v>2756880</v>
      </c>
    </row>
    <row r="27" spans="1:3">
      <c r="A27" s="203" t="s">
        <v>18</v>
      </c>
      <c r="B27" s="3">
        <v>1</v>
      </c>
      <c r="C27" s="8">
        <f>439800</f>
        <v>439800</v>
      </c>
    </row>
    <row r="28" spans="1:3">
      <c r="A28" s="203"/>
      <c r="B28" s="9">
        <v>2</v>
      </c>
      <c r="C28" s="11">
        <f>$C$27*2</f>
        <v>879600</v>
      </c>
    </row>
    <row r="29" spans="1:3">
      <c r="A29" s="203"/>
      <c r="B29" s="3">
        <v>3</v>
      </c>
      <c r="C29" s="11">
        <f>$C$27*3</f>
        <v>1319400</v>
      </c>
    </row>
    <row r="30" spans="1:3">
      <c r="A30" s="203"/>
      <c r="B30" s="9">
        <v>4</v>
      </c>
      <c r="C30" s="11">
        <f>$C$27*4</f>
        <v>1759200</v>
      </c>
    </row>
    <row r="31" spans="1:3">
      <c r="A31" s="203"/>
      <c r="B31" s="3">
        <v>5</v>
      </c>
      <c r="C31" s="11">
        <f>$C$27*5</f>
        <v>2199000</v>
      </c>
    </row>
    <row r="32" spans="1:3">
      <c r="A32" s="203"/>
      <c r="B32" s="9">
        <v>6</v>
      </c>
      <c r="C32" s="11">
        <f>$C$27*6</f>
        <v>2638800</v>
      </c>
    </row>
    <row r="33" spans="1:3">
      <c r="A33" s="203" t="s">
        <v>19</v>
      </c>
      <c r="B33" s="3">
        <v>1</v>
      </c>
      <c r="C33" s="8">
        <f>416880</f>
        <v>416880</v>
      </c>
    </row>
    <row r="34" spans="1:3">
      <c r="A34" s="203"/>
      <c r="B34" s="9">
        <v>2</v>
      </c>
      <c r="C34" s="11">
        <f>$C$33*2</f>
        <v>833760</v>
      </c>
    </row>
    <row r="35" spans="1:3">
      <c r="A35" s="203"/>
      <c r="B35" s="3">
        <v>3</v>
      </c>
      <c r="C35" s="11">
        <f>$C$33*3</f>
        <v>1250640</v>
      </c>
    </row>
    <row r="36" spans="1:3">
      <c r="A36" s="203"/>
      <c r="B36" s="9">
        <v>4</v>
      </c>
      <c r="C36" s="11">
        <f>$C$33*4</f>
        <v>1667520</v>
      </c>
    </row>
    <row r="37" spans="1:3">
      <c r="A37" s="203"/>
      <c r="B37" s="3">
        <v>5</v>
      </c>
      <c r="C37" s="11">
        <f>$C$33*5</f>
        <v>2084400</v>
      </c>
    </row>
    <row r="38" spans="1:3">
      <c r="A38" s="203"/>
      <c r="B38" s="9">
        <v>6</v>
      </c>
      <c r="C38" s="11">
        <f>$C$33*6</f>
        <v>2501280</v>
      </c>
    </row>
    <row r="39" spans="1:3">
      <c r="A39" s="203" t="s">
        <v>20</v>
      </c>
      <c r="B39" s="3">
        <v>1</v>
      </c>
      <c r="C39" s="8">
        <f>394200</f>
        <v>394200</v>
      </c>
    </row>
    <row r="40" spans="1:3">
      <c r="A40" s="203"/>
      <c r="B40" s="9">
        <v>2</v>
      </c>
      <c r="C40" s="11">
        <f>$C$39*2</f>
        <v>788400</v>
      </c>
    </row>
    <row r="41" spans="1:3">
      <c r="A41" s="203"/>
      <c r="B41" s="3">
        <v>3</v>
      </c>
      <c r="C41" s="11">
        <f>$C$39*3</f>
        <v>1182600</v>
      </c>
    </row>
    <row r="42" spans="1:3">
      <c r="A42" s="203"/>
      <c r="B42" s="9">
        <v>4</v>
      </c>
      <c r="C42" s="11">
        <f>$C$39*4</f>
        <v>1576800</v>
      </c>
    </row>
    <row r="43" spans="1:3">
      <c r="A43" s="203"/>
      <c r="B43" s="3">
        <v>5</v>
      </c>
      <c r="C43" s="11">
        <f>$C$39*5</f>
        <v>1971000</v>
      </c>
    </row>
    <row r="44" spans="1:3">
      <c r="A44" s="203"/>
      <c r="B44" s="9">
        <v>6</v>
      </c>
      <c r="C44" s="11">
        <f>$C$39*6</f>
        <v>2365200</v>
      </c>
    </row>
    <row r="45" spans="1:3">
      <c r="A45" s="203" t="s">
        <v>21</v>
      </c>
      <c r="B45" s="3">
        <v>1</v>
      </c>
      <c r="C45" s="8">
        <f>353160</f>
        <v>353160</v>
      </c>
    </row>
    <row r="46" spans="1:3">
      <c r="A46" s="203"/>
      <c r="B46" s="9">
        <v>2</v>
      </c>
      <c r="C46" s="11">
        <f>$C$45*2</f>
        <v>706320</v>
      </c>
    </row>
    <row r="47" spans="1:3">
      <c r="A47" s="203"/>
      <c r="B47" s="3">
        <v>3</v>
      </c>
      <c r="C47" s="11">
        <f>$C$45*3</f>
        <v>1059480</v>
      </c>
    </row>
    <row r="48" spans="1:3">
      <c r="A48" s="203"/>
      <c r="B48" s="9">
        <v>4</v>
      </c>
      <c r="C48" s="11">
        <f>$C$45*4</f>
        <v>1412640</v>
      </c>
    </row>
    <row r="49" spans="1:3">
      <c r="A49" s="203"/>
      <c r="B49" s="3">
        <v>5</v>
      </c>
      <c r="C49" s="11">
        <f>$C$45*5</f>
        <v>1765800</v>
      </c>
    </row>
    <row r="50" spans="1:3">
      <c r="A50" s="203"/>
      <c r="B50" s="9">
        <v>6</v>
      </c>
      <c r="C50" s="11">
        <f>$C$45*6</f>
        <v>2118960</v>
      </c>
    </row>
    <row r="51" spans="1:3">
      <c r="B51" s="1"/>
      <c r="C51" s="1"/>
    </row>
    <row r="52" spans="1:3">
      <c r="B52" s="1"/>
      <c r="C52" s="1"/>
    </row>
    <row r="53" spans="1:3">
      <c r="B53" s="1"/>
      <c r="C53" s="1"/>
    </row>
    <row r="54" spans="1:3">
      <c r="B54" s="1"/>
      <c r="C54" s="1"/>
    </row>
    <row r="55" spans="1:3">
      <c r="B55" s="1"/>
      <c r="C55" s="1"/>
    </row>
    <row r="56" spans="1:3">
      <c r="B56" s="1"/>
      <c r="C56" s="1"/>
    </row>
    <row r="57" spans="1:3">
      <c r="B57" s="1"/>
      <c r="C57" s="1"/>
    </row>
    <row r="58" spans="1:3">
      <c r="B58" s="1"/>
      <c r="C58" s="1"/>
    </row>
    <row r="59" spans="1:3">
      <c r="B59" s="1"/>
      <c r="C59" s="1"/>
    </row>
    <row r="60" spans="1:3">
      <c r="B60" s="1"/>
    </row>
    <row r="61" spans="1:3">
      <c r="B61" s="1"/>
    </row>
    <row r="62" spans="1:3">
      <c r="B62" s="1"/>
    </row>
    <row r="63" spans="1:3">
      <c r="B63" s="1"/>
    </row>
  </sheetData>
  <sheetProtection algorithmName="SHA-512" hashValue="U6d7Vv9cRAssW9N/qJLWUpz42k0BzCAzUN2nQDxX8TaBA306tma3umb8j3oNherRVMOFZWl4u6PhAv8BQAWZUA==" saltValue="XxMBA0aPTXjF5mNOzagtRQ==" spinCount="100000" sheet="1" objects="1" scenarios="1"/>
  <mergeCells count="11">
    <mergeCell ref="A21:A26"/>
    <mergeCell ref="A27:A32"/>
    <mergeCell ref="A33:A38"/>
    <mergeCell ref="A39:A44"/>
    <mergeCell ref="A45:A50"/>
    <mergeCell ref="A15:A20"/>
    <mergeCell ref="A1:C1"/>
    <mergeCell ref="A3:A8"/>
    <mergeCell ref="H3:H7"/>
    <mergeCell ref="H8:H12"/>
    <mergeCell ref="A9:A1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7995-4E55-4CF4-A3B3-E6FAB8BAD2E7}">
  <dimension ref="A1:AX58"/>
  <sheetViews>
    <sheetView tabSelected="1" view="pageBreakPreview" topLeftCell="A10" zoomScale="50" zoomScaleNormal="50" zoomScaleSheetLayoutView="50" workbookViewId="0">
      <selection activeCell="F21" sqref="F21"/>
    </sheetView>
  </sheetViews>
  <sheetFormatPr defaultRowHeight="24"/>
  <cols>
    <col min="1" max="1" width="1.5" style="17" customWidth="1"/>
    <col min="2" max="2" width="6.375" style="17" customWidth="1"/>
    <col min="3" max="3" width="13.875" style="18" customWidth="1"/>
    <col min="4" max="4" width="5.5" style="18" customWidth="1"/>
    <col min="5" max="5" width="12.125" style="18" customWidth="1"/>
    <col min="6" max="6" width="15.375" style="18" customWidth="1"/>
    <col min="7" max="8" width="11.875" style="18" customWidth="1"/>
    <col min="9" max="10" width="12.25" style="18" customWidth="1"/>
    <col min="11" max="11" width="15.25" style="18" customWidth="1"/>
    <col min="12" max="12" width="12.25" style="18" customWidth="1"/>
    <col min="13" max="14" width="3.125" style="17" hidden="1" customWidth="1"/>
    <col min="15" max="16" width="9" style="17" hidden="1" customWidth="1"/>
    <col min="17" max="17" width="12.625" style="17" hidden="1" customWidth="1"/>
    <col min="18" max="18" width="10.25" style="17" hidden="1" customWidth="1"/>
    <col min="19" max="19" width="10.375" style="17" hidden="1" customWidth="1"/>
    <col min="20" max="20" width="6.125" style="17" hidden="1" customWidth="1"/>
    <col min="21" max="21" width="9" style="17" hidden="1" customWidth="1"/>
    <col min="22" max="22" width="7.375" style="17" hidden="1" customWidth="1"/>
    <col min="23" max="23" width="10" style="17" hidden="1" customWidth="1"/>
    <col min="24" max="24" width="6.125" style="17" hidden="1" customWidth="1"/>
    <col min="25" max="25" width="12.375" style="17" hidden="1" customWidth="1"/>
    <col min="26" max="26" width="6.125" style="17" hidden="1" customWidth="1"/>
    <col min="27" max="27" width="11.375" style="17" hidden="1" customWidth="1"/>
    <col min="28" max="28" width="13.875" style="17" hidden="1" customWidth="1"/>
    <col min="29" max="29" width="17" style="17" hidden="1" customWidth="1"/>
    <col min="30" max="30" width="6.125" style="17" hidden="1" customWidth="1"/>
    <col min="31" max="31" width="14.25" style="17" hidden="1" customWidth="1"/>
    <col min="32" max="32" width="14.625" style="17" hidden="1" customWidth="1"/>
    <col min="33" max="35" width="8.5" style="17" hidden="1" customWidth="1"/>
    <col min="36" max="36" width="9.625" style="17" hidden="1" customWidth="1"/>
    <col min="37" max="42" width="9" style="17" hidden="1" customWidth="1"/>
    <col min="43" max="43" width="9" style="17"/>
  </cols>
  <sheetData>
    <row r="1" spans="1:50" ht="33.75" thickBot="1">
      <c r="A1" s="168"/>
      <c r="B1" s="208">
        <v>2024</v>
      </c>
      <c r="C1" s="208"/>
      <c r="D1" s="179" t="s">
        <v>136</v>
      </c>
      <c r="E1" s="180"/>
      <c r="F1" s="181"/>
      <c r="G1" s="167"/>
      <c r="H1" s="167"/>
      <c r="I1" s="167"/>
      <c r="J1" s="167"/>
      <c r="K1" s="167"/>
      <c r="L1" s="167"/>
      <c r="M1" s="168"/>
      <c r="AB1" s="19" t="s">
        <v>22</v>
      </c>
      <c r="AC1" s="20" t="str">
        <f>B1&amp;"/４/1"</f>
        <v>2024/４/1</v>
      </c>
      <c r="AQ1" s="168"/>
      <c r="AR1" s="189"/>
      <c r="AS1" s="189"/>
      <c r="AT1" s="189"/>
      <c r="AU1" s="189"/>
      <c r="AV1" s="189"/>
      <c r="AW1" s="189"/>
      <c r="AX1" s="189"/>
    </row>
    <row r="2" spans="1:50" ht="24.75" thickTop="1">
      <c r="A2" s="168"/>
      <c r="B2" s="168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8"/>
      <c r="AB2" s="19"/>
      <c r="AQ2" s="168"/>
      <c r="AR2" s="189"/>
      <c r="AS2" s="189"/>
      <c r="AT2" s="189"/>
      <c r="AU2" s="189"/>
      <c r="AV2" s="189"/>
      <c r="AW2" s="189"/>
      <c r="AX2" s="189"/>
    </row>
    <row r="3" spans="1:50">
      <c r="A3" s="168"/>
      <c r="B3" s="168" t="s">
        <v>23</v>
      </c>
      <c r="C3" s="168"/>
      <c r="D3" s="168"/>
      <c r="E3" s="168"/>
      <c r="F3" s="168"/>
      <c r="G3" s="168"/>
      <c r="H3" s="168"/>
      <c r="I3" s="168"/>
      <c r="J3" s="169"/>
      <c r="K3" s="169"/>
      <c r="L3" s="169"/>
      <c r="M3" s="168"/>
      <c r="N3" s="22"/>
      <c r="O3" s="209" t="s">
        <v>24</v>
      </c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D3" s="21"/>
      <c r="AF3" s="21"/>
      <c r="AQ3" s="168"/>
      <c r="AR3" s="189"/>
      <c r="AS3" s="189"/>
      <c r="AT3" s="189"/>
      <c r="AU3" s="189"/>
      <c r="AV3" s="189"/>
      <c r="AW3" s="189"/>
      <c r="AX3" s="189"/>
    </row>
    <row r="4" spans="1:50" ht="48">
      <c r="A4" s="167"/>
      <c r="B4" s="210" t="s">
        <v>25</v>
      </c>
      <c r="C4" s="211" t="s">
        <v>26</v>
      </c>
      <c r="D4" s="213" t="s">
        <v>27</v>
      </c>
      <c r="E4" s="211" t="s">
        <v>28</v>
      </c>
      <c r="F4" s="214" t="s">
        <v>29</v>
      </c>
      <c r="G4" s="216" t="s">
        <v>30</v>
      </c>
      <c r="H4" s="216"/>
      <c r="I4" s="216"/>
      <c r="J4" s="170"/>
      <c r="K4" s="170"/>
      <c r="L4" s="170"/>
      <c r="M4" s="168"/>
      <c r="N4" s="23"/>
      <c r="O4" s="217" t="s">
        <v>31</v>
      </c>
      <c r="P4" s="219" t="s">
        <v>32</v>
      </c>
      <c r="Q4" s="220"/>
      <c r="R4" s="219" t="s">
        <v>33</v>
      </c>
      <c r="S4" s="220"/>
      <c r="T4" s="219" t="s">
        <v>34</v>
      </c>
      <c r="U4" s="225"/>
      <c r="V4" s="225"/>
      <c r="W4" s="220"/>
      <c r="X4" s="227" t="s">
        <v>35</v>
      </c>
      <c r="Y4" s="228"/>
      <c r="Z4" s="227" t="s">
        <v>36</v>
      </c>
      <c r="AA4" s="228"/>
      <c r="AB4" s="24" t="s">
        <v>37</v>
      </c>
      <c r="AC4" s="25" t="str">
        <f>(B1-1)&amp;"/4/1"</f>
        <v>2023/4/1</v>
      </c>
      <c r="AD4" s="26"/>
      <c r="AE4" s="27" t="str">
        <f>(B1-2)&amp;"/12/31"</f>
        <v>2022/12/31</v>
      </c>
      <c r="AF4" s="28" t="str">
        <f>(B1-1)&amp;"/12/31"</f>
        <v>2023/12/31</v>
      </c>
      <c r="AG4" s="239" t="s">
        <v>38</v>
      </c>
      <c r="AH4" s="240"/>
      <c r="AI4" s="241"/>
      <c r="AJ4" s="239" t="s">
        <v>39</v>
      </c>
      <c r="AK4" s="241"/>
      <c r="AL4" s="231" t="s">
        <v>40</v>
      </c>
      <c r="AM4" s="232"/>
      <c r="AN4" s="233"/>
      <c r="AO4" s="18"/>
      <c r="AP4" s="18"/>
      <c r="AQ4" s="167"/>
      <c r="AR4" s="189"/>
      <c r="AS4" s="189"/>
      <c r="AT4" s="189"/>
      <c r="AU4" s="189"/>
      <c r="AV4" s="189"/>
      <c r="AW4" s="189"/>
      <c r="AX4" s="189"/>
    </row>
    <row r="5" spans="1:50" ht="24.75" thickBot="1">
      <c r="A5" s="167"/>
      <c r="B5" s="210"/>
      <c r="C5" s="212"/>
      <c r="D5" s="213"/>
      <c r="E5" s="211"/>
      <c r="F5" s="215"/>
      <c r="G5" s="29" t="s">
        <v>41</v>
      </c>
      <c r="H5" s="29" t="s">
        <v>42</v>
      </c>
      <c r="I5" s="30" t="s">
        <v>43</v>
      </c>
      <c r="J5" s="171"/>
      <c r="K5" s="171"/>
      <c r="L5" s="171"/>
      <c r="M5" s="172"/>
      <c r="N5" s="31"/>
      <c r="O5" s="218"/>
      <c r="P5" s="221"/>
      <c r="Q5" s="222"/>
      <c r="R5" s="221"/>
      <c r="S5" s="222"/>
      <c r="T5" s="221"/>
      <c r="U5" s="226"/>
      <c r="V5" s="226"/>
      <c r="W5" s="222"/>
      <c r="X5" s="229"/>
      <c r="Y5" s="230"/>
      <c r="Z5" s="229"/>
      <c r="AA5" s="230"/>
      <c r="AB5" s="32" t="s">
        <v>44</v>
      </c>
      <c r="AC5" s="32" t="s">
        <v>28</v>
      </c>
      <c r="AD5" s="26"/>
      <c r="AE5" s="27" t="s">
        <v>45</v>
      </c>
      <c r="AF5" s="33" t="s">
        <v>46</v>
      </c>
      <c r="AG5" s="18" t="s">
        <v>47</v>
      </c>
      <c r="AH5" s="18"/>
      <c r="AI5" s="18" t="s">
        <v>48</v>
      </c>
      <c r="AJ5" s="34" t="s">
        <v>47</v>
      </c>
      <c r="AK5" s="35" t="s">
        <v>48</v>
      </c>
      <c r="AL5" s="36"/>
      <c r="AM5" s="37"/>
      <c r="AN5" s="38" t="s">
        <v>47</v>
      </c>
      <c r="AO5" s="18"/>
      <c r="AP5" s="27" t="s">
        <v>49</v>
      </c>
      <c r="AQ5" s="167"/>
      <c r="AR5" s="189"/>
      <c r="AS5" s="189"/>
      <c r="AT5" s="189"/>
      <c r="AU5" s="189"/>
      <c r="AV5" s="189"/>
      <c r="AW5" s="189"/>
      <c r="AX5" s="189"/>
    </row>
    <row r="6" spans="1:50">
      <c r="A6" s="167"/>
      <c r="B6" s="39">
        <v>1</v>
      </c>
      <c r="C6" s="199"/>
      <c r="D6" s="40" t="str">
        <f t="shared" ref="D6:D13" si="0">IF(C6="","",DATEDIF(C6,$AC$1,"Y"))</f>
        <v/>
      </c>
      <c r="E6" s="39" t="str">
        <f t="shared" ref="E6:E13" si="1">IFERROR(VLOOKUP(D6,$AB$42:$AC$50,2,FALSE),"")</f>
        <v/>
      </c>
      <c r="F6" s="41"/>
      <c r="G6" s="42"/>
      <c r="H6" s="43"/>
      <c r="I6" s="40">
        <f t="shared" ref="I6:I13" si="2">SUM(G6:H6)</f>
        <v>0</v>
      </c>
      <c r="J6" s="173"/>
      <c r="K6" s="173"/>
      <c r="L6" s="173"/>
      <c r="M6" s="174"/>
      <c r="N6" s="31"/>
      <c r="O6" s="46" t="s">
        <v>10</v>
      </c>
      <c r="P6" s="47">
        <f>COUNTIF(D6:D13, "&gt;=0") - COUNTIF(D6:D13, "&gt;2")</f>
        <v>0</v>
      </c>
      <c r="Q6" s="48" t="str">
        <f>IF(P6=0,"",VLOOKUP(P6,DB!B3:C8,2,FALSE))</f>
        <v/>
      </c>
      <c r="R6" s="49">
        <f>P14</f>
        <v>0</v>
      </c>
      <c r="S6" s="50">
        <f>IF(R6=0,0,VLOOKUP(R6,DB!E3:F12,2,FALSE))</f>
        <v>0</v>
      </c>
      <c r="T6" s="49">
        <f>SUM(COUNTIF(E6:E13,{"小学1年","小学2年","小学3年","小学4年","小学5年","小学6年"}))</f>
        <v>0</v>
      </c>
      <c r="U6" s="50">
        <f>IF(T6=0,0,VLOOKUP(T6,DB!I3:J7,2,FALSE))</f>
        <v>0</v>
      </c>
      <c r="V6" s="49">
        <f>SUM(COUNTIF(E6:E13,{"中学1年","中学2年","中学3年"}))</f>
        <v>0</v>
      </c>
      <c r="W6" s="50">
        <f>IF(V6=0,0,VLOOKUP(V6,DB!I8:J12,2,FALSE))</f>
        <v>0</v>
      </c>
      <c r="X6" s="51">
        <f>P14</f>
        <v>0</v>
      </c>
      <c r="Y6" s="50">
        <f>IF(X6=0,0,VLOOKUP(X6,DB!O3:P11,2,FALSE))</f>
        <v>0</v>
      </c>
      <c r="Z6" s="49">
        <f>SUM(COUNTIF(D6:D13,{"0","1","2","3","4","5","6","7","8","9","10","11","12","13","14","15","16","17"}))</f>
        <v>0</v>
      </c>
      <c r="AA6" s="50">
        <f>IF(Z6=0,0,VLOOKUP(Z6,DB!L3:M8,2,FALSE))</f>
        <v>0</v>
      </c>
      <c r="AB6" s="52" t="str">
        <f t="shared" ref="AB6:AB13" si="3">IF(C6="","",DATEDIF(C6,$AC$4,"Y"))</f>
        <v/>
      </c>
      <c r="AC6" s="52" t="str">
        <f t="shared" ref="AC6:AC13" si="4">IF(AB6="","",VLOOKUP(AB6,$AB$42:$AC$50,2,FALSE))</f>
        <v/>
      </c>
      <c r="AD6" s="44"/>
      <c r="AE6" s="27" t="str">
        <f t="shared" ref="AE6:AE13" si="5">IF(C6="","",DATEDIF(C6,$AE$4,"Y"))</f>
        <v/>
      </c>
      <c r="AF6" s="53" t="str">
        <f t="shared" ref="AF6:AF13" si="6">IF(C6="","",DATEDIF(C6,$AF$4,"Y"))</f>
        <v/>
      </c>
      <c r="AG6" s="27">
        <f>IF(AE6=0,1,0)</f>
        <v>0</v>
      </c>
      <c r="AH6" s="27">
        <f t="shared" ref="AH6:AH13" si="7">12-AP6</f>
        <v>11</v>
      </c>
      <c r="AI6" s="36">
        <f>AH6*AG6</f>
        <v>0</v>
      </c>
      <c r="AJ6" s="54">
        <f>IF(AF6=3,1,0)</f>
        <v>0</v>
      </c>
      <c r="AK6" s="55">
        <f t="shared" ref="AK6:AK13" si="8">AJ6*AP6</f>
        <v>0</v>
      </c>
      <c r="AL6" s="27">
        <f>IF(AF6=6,1,0)</f>
        <v>0</v>
      </c>
      <c r="AM6" s="27">
        <f>IF(AP6&lt;4,1,0)</f>
        <v>1</v>
      </c>
      <c r="AN6" s="27">
        <f>AL6*AM6</f>
        <v>0</v>
      </c>
      <c r="AO6" s="18"/>
      <c r="AP6" s="27">
        <f t="shared" ref="AP6:AP13" si="9">MONTH(C6)</f>
        <v>1</v>
      </c>
      <c r="AQ6" s="167"/>
      <c r="AR6" s="189"/>
      <c r="AS6" s="189"/>
      <c r="AT6" s="189"/>
      <c r="AU6" s="189"/>
      <c r="AV6" s="189"/>
      <c r="AW6" s="189"/>
      <c r="AX6" s="189"/>
    </row>
    <row r="7" spans="1:50">
      <c r="A7" s="167"/>
      <c r="B7" s="56">
        <v>2</v>
      </c>
      <c r="C7" s="191"/>
      <c r="D7" s="57" t="str">
        <f t="shared" si="0"/>
        <v/>
      </c>
      <c r="E7" s="56" t="str">
        <f t="shared" si="1"/>
        <v/>
      </c>
      <c r="F7" s="58"/>
      <c r="G7" s="59"/>
      <c r="H7" s="60"/>
      <c r="I7" s="57">
        <f t="shared" si="2"/>
        <v>0</v>
      </c>
      <c r="J7" s="173"/>
      <c r="K7" s="173"/>
      <c r="L7" s="173"/>
      <c r="M7" s="174"/>
      <c r="N7" s="31"/>
      <c r="O7" s="61" t="s">
        <v>15</v>
      </c>
      <c r="P7" s="62">
        <f>COUNTIF(D6:D13, "&gt;=3") - COUNTIF(D6:D13, "&gt;5")</f>
        <v>0</v>
      </c>
      <c r="Q7" s="63" t="str">
        <f>IF(P7=0,"",VLOOKUP(P7,DB!B9:C14,2,FALSE))</f>
        <v/>
      </c>
      <c r="R7" s="64"/>
      <c r="S7" s="65"/>
      <c r="T7" s="64"/>
      <c r="U7" s="65"/>
      <c r="V7" s="64"/>
      <c r="W7" s="65"/>
      <c r="X7" s="65"/>
      <c r="Y7" s="65"/>
      <c r="Z7" s="65"/>
      <c r="AA7" s="64"/>
      <c r="AB7" s="52" t="str">
        <f t="shared" si="3"/>
        <v/>
      </c>
      <c r="AC7" s="52" t="str">
        <f t="shared" si="4"/>
        <v/>
      </c>
      <c r="AD7" s="18"/>
      <c r="AE7" s="27" t="str">
        <f t="shared" si="5"/>
        <v/>
      </c>
      <c r="AF7" s="53" t="str">
        <f t="shared" si="6"/>
        <v/>
      </c>
      <c r="AG7" s="27">
        <f>IF(AE7=0,1,0)</f>
        <v>0</v>
      </c>
      <c r="AH7" s="27">
        <f t="shared" si="7"/>
        <v>11</v>
      </c>
      <c r="AI7" s="27">
        <f t="shared" ref="AI7:AI13" si="10">AH7*AG7</f>
        <v>0</v>
      </c>
      <c r="AJ7" s="54">
        <f t="shared" ref="AJ7:AJ13" si="11">IF(AF7=3,1,0)</f>
        <v>0</v>
      </c>
      <c r="AK7" s="27">
        <f t="shared" si="8"/>
        <v>0</v>
      </c>
      <c r="AL7" s="27">
        <f t="shared" ref="AL7:AL13" si="12">IF(AF7=6,1,0)</f>
        <v>0</v>
      </c>
      <c r="AM7" s="27">
        <f t="shared" ref="AM7:AM13" si="13">IF(AP7&lt;4,1,0)</f>
        <v>1</v>
      </c>
      <c r="AN7" s="27">
        <f t="shared" ref="AN7:AN13" si="14">AL7*AM7</f>
        <v>0</v>
      </c>
      <c r="AO7" s="18"/>
      <c r="AP7" s="27">
        <f t="shared" si="9"/>
        <v>1</v>
      </c>
      <c r="AQ7" s="167"/>
      <c r="AR7" s="189"/>
      <c r="AS7" s="189"/>
      <c r="AT7" s="189"/>
      <c r="AU7" s="189"/>
      <c r="AV7" s="189"/>
      <c r="AW7" s="189"/>
      <c r="AX7" s="189"/>
    </row>
    <row r="8" spans="1:50">
      <c r="A8" s="167"/>
      <c r="B8" s="56">
        <v>3</v>
      </c>
      <c r="C8" s="191"/>
      <c r="D8" s="57" t="str">
        <f t="shared" si="0"/>
        <v/>
      </c>
      <c r="E8" s="56" t="str">
        <f t="shared" si="1"/>
        <v/>
      </c>
      <c r="F8" s="58"/>
      <c r="G8" s="59"/>
      <c r="H8" s="60"/>
      <c r="I8" s="57">
        <f t="shared" si="2"/>
        <v>0</v>
      </c>
      <c r="J8" s="173"/>
      <c r="K8" s="173"/>
      <c r="L8" s="173"/>
      <c r="M8" s="174"/>
      <c r="N8" s="31"/>
      <c r="O8" s="61" t="s">
        <v>16</v>
      </c>
      <c r="P8" s="62">
        <f>COUNTIF(D6:D13, "&gt;=6") - COUNTIF(D6:D13, "&gt;11")</f>
        <v>0</v>
      </c>
      <c r="Q8" s="63" t="str">
        <f>IF(P8=0,"",VLOOKUP(P8,DB!B15:C20,2,FALSE))</f>
        <v/>
      </c>
      <c r="R8" s="64"/>
      <c r="S8" s="65"/>
      <c r="T8" s="64"/>
      <c r="U8" s="65"/>
      <c r="V8" s="64"/>
      <c r="W8" s="65"/>
      <c r="X8" s="65"/>
      <c r="Y8" s="65"/>
      <c r="Z8" s="65"/>
      <c r="AA8" s="64"/>
      <c r="AB8" s="52" t="str">
        <f t="shared" si="3"/>
        <v/>
      </c>
      <c r="AC8" s="52" t="str">
        <f t="shared" si="4"/>
        <v/>
      </c>
      <c r="AD8" s="18"/>
      <c r="AE8" s="27" t="str">
        <f t="shared" si="5"/>
        <v/>
      </c>
      <c r="AF8" s="53" t="str">
        <f t="shared" si="6"/>
        <v/>
      </c>
      <c r="AG8" s="27">
        <f>IF(AE8=0,1,0)</f>
        <v>0</v>
      </c>
      <c r="AH8" s="27">
        <f t="shared" si="7"/>
        <v>11</v>
      </c>
      <c r="AI8" s="27">
        <f t="shared" si="10"/>
        <v>0</v>
      </c>
      <c r="AJ8" s="54">
        <f t="shared" si="11"/>
        <v>0</v>
      </c>
      <c r="AK8" s="27">
        <f t="shared" si="8"/>
        <v>0</v>
      </c>
      <c r="AL8" s="27">
        <f t="shared" si="12"/>
        <v>0</v>
      </c>
      <c r="AM8" s="27">
        <f t="shared" si="13"/>
        <v>1</v>
      </c>
      <c r="AN8" s="27">
        <f t="shared" si="14"/>
        <v>0</v>
      </c>
      <c r="AO8" s="18"/>
      <c r="AP8" s="27">
        <f t="shared" si="9"/>
        <v>1</v>
      </c>
      <c r="AQ8" s="167"/>
      <c r="AR8" s="189"/>
      <c r="AS8" s="189"/>
      <c r="AT8" s="189"/>
      <c r="AU8" s="189"/>
      <c r="AV8" s="189"/>
      <c r="AW8" s="189"/>
      <c r="AX8" s="189"/>
    </row>
    <row r="9" spans="1:50">
      <c r="A9" s="167"/>
      <c r="B9" s="56">
        <v>4</v>
      </c>
      <c r="C9" s="191"/>
      <c r="D9" s="57" t="str">
        <f t="shared" si="0"/>
        <v/>
      </c>
      <c r="E9" s="56" t="str">
        <f t="shared" si="1"/>
        <v/>
      </c>
      <c r="F9" s="58"/>
      <c r="G9" s="59"/>
      <c r="H9" s="60"/>
      <c r="I9" s="57">
        <f t="shared" si="2"/>
        <v>0</v>
      </c>
      <c r="J9" s="173"/>
      <c r="K9" s="173"/>
      <c r="L9" s="173"/>
      <c r="M9" s="174"/>
      <c r="N9" s="31"/>
      <c r="O9" s="61" t="s">
        <v>17</v>
      </c>
      <c r="P9" s="62">
        <f>COUNTIF(D6:D13, "&gt;=12") - COUNTIF(D6:D13, "&gt;19")</f>
        <v>0</v>
      </c>
      <c r="Q9" s="63" t="str">
        <f>IF(P9=0,"",VLOOKUP(P9,DB!B21:C26,2,FALSE))</f>
        <v/>
      </c>
      <c r="R9" s="64"/>
      <c r="S9" s="65"/>
      <c r="T9" s="64"/>
      <c r="U9" s="65"/>
      <c r="V9" s="64"/>
      <c r="W9" s="65"/>
      <c r="X9" s="65"/>
      <c r="Y9" s="65"/>
      <c r="Z9" s="65"/>
      <c r="AA9" s="64"/>
      <c r="AB9" s="52" t="str">
        <f t="shared" si="3"/>
        <v/>
      </c>
      <c r="AC9" s="52" t="str">
        <f t="shared" si="4"/>
        <v/>
      </c>
      <c r="AD9" s="18"/>
      <c r="AE9" s="27" t="str">
        <f t="shared" si="5"/>
        <v/>
      </c>
      <c r="AF9" s="53" t="str">
        <f t="shared" si="6"/>
        <v/>
      </c>
      <c r="AG9" s="27">
        <f>IF(AF9=0,1,0)</f>
        <v>0</v>
      </c>
      <c r="AH9" s="27">
        <f t="shared" si="7"/>
        <v>11</v>
      </c>
      <c r="AI9" s="27">
        <f t="shared" si="10"/>
        <v>0</v>
      </c>
      <c r="AJ9" s="54">
        <f t="shared" si="11"/>
        <v>0</v>
      </c>
      <c r="AK9" s="27">
        <f t="shared" si="8"/>
        <v>0</v>
      </c>
      <c r="AL9" s="27">
        <f t="shared" si="12"/>
        <v>0</v>
      </c>
      <c r="AM9" s="27">
        <f t="shared" si="13"/>
        <v>1</v>
      </c>
      <c r="AN9" s="27">
        <f t="shared" si="14"/>
        <v>0</v>
      </c>
      <c r="AO9" s="18"/>
      <c r="AP9" s="27">
        <f t="shared" si="9"/>
        <v>1</v>
      </c>
      <c r="AQ9" s="167"/>
      <c r="AR9" s="189"/>
      <c r="AS9" s="189"/>
      <c r="AT9" s="189"/>
      <c r="AU9" s="189"/>
      <c r="AV9" s="189"/>
      <c r="AW9" s="189"/>
      <c r="AX9" s="189"/>
    </row>
    <row r="10" spans="1:50">
      <c r="A10" s="167"/>
      <c r="B10" s="56">
        <v>5</v>
      </c>
      <c r="C10" s="66"/>
      <c r="D10" s="57" t="str">
        <f t="shared" si="0"/>
        <v/>
      </c>
      <c r="E10" s="56" t="str">
        <f t="shared" si="1"/>
        <v/>
      </c>
      <c r="F10" s="58"/>
      <c r="G10" s="59"/>
      <c r="H10" s="60"/>
      <c r="I10" s="57">
        <f t="shared" si="2"/>
        <v>0</v>
      </c>
      <c r="J10" s="173"/>
      <c r="K10" s="173"/>
      <c r="L10" s="173"/>
      <c r="M10" s="174"/>
      <c r="N10" s="31"/>
      <c r="O10" s="61" t="s">
        <v>18</v>
      </c>
      <c r="P10" s="62">
        <f>COUNTIF(D6:D13, "&gt;=20") - COUNTIF(D6:D13, "&gt;40")</f>
        <v>0</v>
      </c>
      <c r="Q10" s="63" t="str">
        <f>IF(P10=0,"",VLOOKUP(P10,DB!B27:C32,2,FALSE))</f>
        <v/>
      </c>
      <c r="R10" s="64"/>
      <c r="S10" s="65"/>
      <c r="T10" s="64"/>
      <c r="U10" s="65"/>
      <c r="V10" s="64"/>
      <c r="W10" s="65"/>
      <c r="X10" s="65"/>
      <c r="Y10" s="65"/>
      <c r="Z10" s="65"/>
      <c r="AA10" s="64"/>
      <c r="AB10" s="52" t="str">
        <f t="shared" si="3"/>
        <v/>
      </c>
      <c r="AC10" s="52" t="str">
        <f t="shared" si="4"/>
        <v/>
      </c>
      <c r="AD10" s="18"/>
      <c r="AE10" s="27" t="str">
        <f t="shared" si="5"/>
        <v/>
      </c>
      <c r="AF10" s="53" t="str">
        <f t="shared" si="6"/>
        <v/>
      </c>
      <c r="AG10" s="27">
        <f>IF(AF10=0,1,0)</f>
        <v>0</v>
      </c>
      <c r="AH10" s="27">
        <f t="shared" si="7"/>
        <v>11</v>
      </c>
      <c r="AI10" s="27">
        <f t="shared" si="10"/>
        <v>0</v>
      </c>
      <c r="AJ10" s="54">
        <f t="shared" si="11"/>
        <v>0</v>
      </c>
      <c r="AK10" s="27">
        <f t="shared" si="8"/>
        <v>0</v>
      </c>
      <c r="AL10" s="27">
        <f t="shared" si="12"/>
        <v>0</v>
      </c>
      <c r="AM10" s="27">
        <f t="shared" si="13"/>
        <v>1</v>
      </c>
      <c r="AN10" s="27">
        <f t="shared" si="14"/>
        <v>0</v>
      </c>
      <c r="AO10" s="18"/>
      <c r="AP10" s="27">
        <f t="shared" si="9"/>
        <v>1</v>
      </c>
      <c r="AQ10" s="167"/>
      <c r="AR10" s="189"/>
      <c r="AS10" s="189"/>
      <c r="AT10" s="189"/>
      <c r="AU10" s="189"/>
      <c r="AV10" s="189"/>
      <c r="AW10" s="189"/>
      <c r="AX10" s="189"/>
    </row>
    <row r="11" spans="1:50">
      <c r="A11" s="167"/>
      <c r="B11" s="56">
        <v>6</v>
      </c>
      <c r="C11" s="66"/>
      <c r="D11" s="57" t="str">
        <f t="shared" si="0"/>
        <v/>
      </c>
      <c r="E11" s="56" t="str">
        <f t="shared" si="1"/>
        <v/>
      </c>
      <c r="F11" s="58"/>
      <c r="G11" s="59"/>
      <c r="H11" s="60"/>
      <c r="I11" s="57">
        <f t="shared" si="2"/>
        <v>0</v>
      </c>
      <c r="J11" s="173"/>
      <c r="K11" s="173"/>
      <c r="L11" s="173"/>
      <c r="M11" s="174"/>
      <c r="N11" s="31"/>
      <c r="O11" s="61" t="s">
        <v>19</v>
      </c>
      <c r="P11" s="62">
        <f>COUNTIF(D6:D13, "&gt;=41") - COUNTIF(D6:D13, "&gt;59")</f>
        <v>0</v>
      </c>
      <c r="Q11" s="63" t="str">
        <f>IF(P11=0,"",VLOOKUP(P11,DB!B33:C38,2,FALSE))</f>
        <v/>
      </c>
      <c r="R11" s="64"/>
      <c r="S11" s="65"/>
      <c r="T11" s="64"/>
      <c r="U11" s="65"/>
      <c r="V11" s="64"/>
      <c r="W11" s="65"/>
      <c r="X11" s="65"/>
      <c r="Y11" s="65"/>
      <c r="Z11" s="65"/>
      <c r="AA11" s="64"/>
      <c r="AB11" s="52" t="str">
        <f t="shared" si="3"/>
        <v/>
      </c>
      <c r="AC11" s="52" t="str">
        <f t="shared" si="4"/>
        <v/>
      </c>
      <c r="AD11" s="18"/>
      <c r="AE11" s="27" t="str">
        <f t="shared" si="5"/>
        <v/>
      </c>
      <c r="AF11" s="53" t="str">
        <f t="shared" si="6"/>
        <v/>
      </c>
      <c r="AG11" s="27">
        <f>IF(AF11=0,1,0)</f>
        <v>0</v>
      </c>
      <c r="AH11" s="27">
        <f t="shared" si="7"/>
        <v>11</v>
      </c>
      <c r="AI11" s="27">
        <f t="shared" si="10"/>
        <v>0</v>
      </c>
      <c r="AJ11" s="54">
        <f t="shared" si="11"/>
        <v>0</v>
      </c>
      <c r="AK11" s="27">
        <f t="shared" si="8"/>
        <v>0</v>
      </c>
      <c r="AL11" s="27">
        <f t="shared" si="12"/>
        <v>0</v>
      </c>
      <c r="AM11" s="27">
        <f t="shared" si="13"/>
        <v>1</v>
      </c>
      <c r="AN11" s="27">
        <f t="shared" si="14"/>
        <v>0</v>
      </c>
      <c r="AO11" s="18"/>
      <c r="AP11" s="27">
        <f t="shared" si="9"/>
        <v>1</v>
      </c>
      <c r="AQ11" s="167"/>
      <c r="AR11" s="189"/>
      <c r="AS11" s="189"/>
      <c r="AT11" s="189"/>
      <c r="AU11" s="189"/>
      <c r="AV11" s="189"/>
      <c r="AW11" s="189"/>
      <c r="AX11" s="189"/>
    </row>
    <row r="12" spans="1:50">
      <c r="A12" s="167"/>
      <c r="B12" s="56">
        <v>7</v>
      </c>
      <c r="C12" s="191"/>
      <c r="D12" s="57" t="str">
        <f t="shared" si="0"/>
        <v/>
      </c>
      <c r="E12" s="56" t="str">
        <f t="shared" si="1"/>
        <v/>
      </c>
      <c r="F12" s="58"/>
      <c r="G12" s="59"/>
      <c r="H12" s="60"/>
      <c r="I12" s="57">
        <f t="shared" si="2"/>
        <v>0</v>
      </c>
      <c r="J12" s="173"/>
      <c r="K12" s="173"/>
      <c r="L12" s="173"/>
      <c r="M12" s="174"/>
      <c r="N12" s="31"/>
      <c r="O12" s="61" t="s">
        <v>20</v>
      </c>
      <c r="P12" s="62">
        <f>COUNTIF(D6:D13, "&gt;=60") - COUNTIF(D6:D13, "&gt;69")</f>
        <v>0</v>
      </c>
      <c r="Q12" s="63" t="str">
        <f>IF(P12=0,"",VLOOKUP(P12,DB!B39:C44,2,FALSE))</f>
        <v/>
      </c>
      <c r="R12" s="64"/>
      <c r="S12" s="65"/>
      <c r="T12" s="64"/>
      <c r="U12" s="65"/>
      <c r="V12" s="64"/>
      <c r="W12" s="65"/>
      <c r="X12" s="65"/>
      <c r="Y12" s="65"/>
      <c r="Z12" s="65"/>
      <c r="AA12" s="64"/>
      <c r="AB12" s="52" t="str">
        <f t="shared" si="3"/>
        <v/>
      </c>
      <c r="AC12" s="52" t="str">
        <f t="shared" si="4"/>
        <v/>
      </c>
      <c r="AD12" s="18"/>
      <c r="AE12" s="27" t="str">
        <f t="shared" si="5"/>
        <v/>
      </c>
      <c r="AF12" s="53" t="str">
        <f t="shared" si="6"/>
        <v/>
      </c>
      <c r="AG12" s="27">
        <f>IF(AF12=0,1,0)</f>
        <v>0</v>
      </c>
      <c r="AH12" s="27">
        <f t="shared" si="7"/>
        <v>11</v>
      </c>
      <c r="AI12" s="27">
        <f t="shared" si="10"/>
        <v>0</v>
      </c>
      <c r="AJ12" s="54">
        <f t="shared" si="11"/>
        <v>0</v>
      </c>
      <c r="AK12" s="27">
        <f t="shared" si="8"/>
        <v>0</v>
      </c>
      <c r="AL12" s="27">
        <f t="shared" si="12"/>
        <v>0</v>
      </c>
      <c r="AM12" s="27">
        <f t="shared" si="13"/>
        <v>1</v>
      </c>
      <c r="AN12" s="27">
        <f t="shared" si="14"/>
        <v>0</v>
      </c>
      <c r="AO12" s="18"/>
      <c r="AP12" s="27">
        <f t="shared" si="9"/>
        <v>1</v>
      </c>
      <c r="AQ12" s="167"/>
      <c r="AR12" s="189"/>
      <c r="AS12" s="189"/>
      <c r="AT12" s="189"/>
      <c r="AU12" s="189"/>
      <c r="AV12" s="189"/>
      <c r="AW12" s="189"/>
      <c r="AX12" s="189"/>
    </row>
    <row r="13" spans="1:50" ht="24.75" thickBot="1">
      <c r="A13" s="167"/>
      <c r="B13" s="67">
        <v>8</v>
      </c>
      <c r="C13" s="68"/>
      <c r="D13" s="69" t="str">
        <f t="shared" si="0"/>
        <v/>
      </c>
      <c r="E13" s="67" t="str">
        <f t="shared" si="1"/>
        <v/>
      </c>
      <c r="F13" s="70"/>
      <c r="G13" s="71"/>
      <c r="H13" s="72"/>
      <c r="I13" s="69">
        <f t="shared" si="2"/>
        <v>0</v>
      </c>
      <c r="J13" s="173"/>
      <c r="K13" s="173"/>
      <c r="L13" s="173"/>
      <c r="M13" s="174"/>
      <c r="N13" s="31"/>
      <c r="O13" s="73" t="s">
        <v>21</v>
      </c>
      <c r="P13" s="74">
        <f>COUNTIF(D6:D13, "&gt;=70")</f>
        <v>0</v>
      </c>
      <c r="Q13" s="75" t="str">
        <f>IF(P13=0,"",VLOOKUP(P13,DB!B45:C50,2,FALSE))</f>
        <v/>
      </c>
      <c r="R13" s="76"/>
      <c r="S13" s="77"/>
      <c r="T13" s="76"/>
      <c r="U13" s="77"/>
      <c r="V13" s="76"/>
      <c r="W13" s="77"/>
      <c r="X13" s="77"/>
      <c r="Y13" s="77"/>
      <c r="Z13" s="77"/>
      <c r="AA13" s="76"/>
      <c r="AB13" s="52" t="str">
        <f t="shared" si="3"/>
        <v/>
      </c>
      <c r="AC13" s="52" t="str">
        <f t="shared" si="4"/>
        <v/>
      </c>
      <c r="AD13" s="18"/>
      <c r="AE13" s="27" t="str">
        <f t="shared" si="5"/>
        <v/>
      </c>
      <c r="AF13" s="53" t="str">
        <f t="shared" si="6"/>
        <v/>
      </c>
      <c r="AG13" s="27">
        <f>IF(AF13=0,1,0)</f>
        <v>0</v>
      </c>
      <c r="AH13" s="27">
        <f t="shared" si="7"/>
        <v>11</v>
      </c>
      <c r="AI13" s="27">
        <f t="shared" si="10"/>
        <v>0</v>
      </c>
      <c r="AJ13" s="54">
        <f t="shared" si="11"/>
        <v>0</v>
      </c>
      <c r="AK13" s="27">
        <f t="shared" si="8"/>
        <v>0</v>
      </c>
      <c r="AL13" s="27">
        <f t="shared" si="12"/>
        <v>0</v>
      </c>
      <c r="AM13" s="27">
        <f t="shared" si="13"/>
        <v>1</v>
      </c>
      <c r="AN13" s="27">
        <f t="shared" si="14"/>
        <v>0</v>
      </c>
      <c r="AO13" s="18"/>
      <c r="AP13" s="27">
        <f t="shared" si="9"/>
        <v>1</v>
      </c>
      <c r="AQ13" s="167"/>
      <c r="AR13" s="189"/>
      <c r="AS13" s="189"/>
      <c r="AT13" s="189"/>
      <c r="AU13" s="189"/>
      <c r="AV13" s="189"/>
      <c r="AW13" s="189"/>
      <c r="AX13" s="189"/>
    </row>
    <row r="14" spans="1:50" ht="24.75" thickBot="1">
      <c r="A14" s="167"/>
      <c r="B14" s="27"/>
      <c r="C14" s="78"/>
      <c r="D14" s="79">
        <f>COUNTA(C6:C13)</f>
        <v>0</v>
      </c>
      <c r="E14" s="53"/>
      <c r="F14" s="78">
        <f>SUM(F6:F13)</f>
        <v>0</v>
      </c>
      <c r="G14" s="78">
        <f t="shared" ref="G14" si="15">SUM(G6:G13)</f>
        <v>0</v>
      </c>
      <c r="H14" s="78">
        <f>SUM(H6:H13)</f>
        <v>0</v>
      </c>
      <c r="I14" s="53">
        <f>SUM(I6:I13)</f>
        <v>0</v>
      </c>
      <c r="J14" s="173"/>
      <c r="K14" s="173"/>
      <c r="L14" s="173"/>
      <c r="M14" s="174"/>
      <c r="N14" s="80"/>
      <c r="O14" s="81" t="s">
        <v>50</v>
      </c>
      <c r="P14" s="82">
        <f>SUM(P6:P13)</f>
        <v>0</v>
      </c>
      <c r="Q14" s="83">
        <f>SUM(Q6:Q13)</f>
        <v>0</v>
      </c>
      <c r="R14" s="83"/>
      <c r="S14" s="83">
        <f t="shared" ref="S14:W14" si="16">SUM(S6:S13)</f>
        <v>0</v>
      </c>
      <c r="T14" s="83"/>
      <c r="U14" s="83">
        <f t="shared" si="16"/>
        <v>0</v>
      </c>
      <c r="V14" s="83"/>
      <c r="W14" s="83">
        <f t="shared" si="16"/>
        <v>0</v>
      </c>
      <c r="X14" s="83"/>
      <c r="Y14" s="83">
        <f t="shared" ref="Y14" si="17">SUM(Y6:Y13)</f>
        <v>0</v>
      </c>
      <c r="Z14" s="83"/>
      <c r="AA14" s="83">
        <f t="shared" ref="AA14" si="18">SUM(AA6:AA13)</f>
        <v>0</v>
      </c>
      <c r="AB14" s="84"/>
      <c r="AC14" s="84"/>
      <c r="AD14" s="85"/>
      <c r="AE14" s="18"/>
      <c r="AF14" s="85"/>
      <c r="AG14" s="18"/>
      <c r="AH14" s="18"/>
      <c r="AI14" s="27">
        <f>SUM(AI6:AI13)</f>
        <v>0</v>
      </c>
      <c r="AJ14" s="27">
        <f>SUM(AJ6:AJ13)</f>
        <v>0</v>
      </c>
      <c r="AK14" s="27">
        <f>SUM(AK6:AK13)</f>
        <v>0</v>
      </c>
      <c r="AL14" s="18"/>
      <c r="AM14" s="18"/>
      <c r="AN14" s="27">
        <f>SUM(AN6:AN13)</f>
        <v>0</v>
      </c>
      <c r="AO14" s="18"/>
      <c r="AP14" s="18"/>
      <c r="AQ14" s="167"/>
      <c r="AR14" s="189"/>
      <c r="AS14" s="189"/>
      <c r="AT14" s="189"/>
      <c r="AU14" s="189"/>
      <c r="AV14" s="189"/>
      <c r="AW14" s="189"/>
      <c r="AX14" s="189"/>
    </row>
    <row r="15" spans="1:50" ht="24.75" thickBot="1">
      <c r="A15" s="167"/>
      <c r="B15" s="234" t="s">
        <v>9</v>
      </c>
      <c r="C15" s="235"/>
      <c r="D15" s="192"/>
      <c r="E15" s="176" t="s">
        <v>51</v>
      </c>
      <c r="F15" s="173"/>
      <c r="G15" s="173"/>
      <c r="H15" s="173"/>
      <c r="I15" s="173"/>
      <c r="J15" s="173"/>
      <c r="K15" s="173"/>
      <c r="L15" s="173"/>
      <c r="M15" s="174"/>
      <c r="N15" s="31"/>
      <c r="O15" s="86"/>
      <c r="P15" s="87" t="s">
        <v>52</v>
      </c>
      <c r="Q15" s="88">
        <f>IF(P14=1,1,IF(P14=2,1,IF(P14=3,1,IF(P14=4,0.95,IF(P14=5,0.9,IF(P14=6,0.9,IF(P14=7,0.9,IF(P14=8,0.9,0.9))))))))</f>
        <v>0.9</v>
      </c>
      <c r="R15" s="86"/>
      <c r="S15" s="86"/>
      <c r="T15" s="86"/>
      <c r="U15" s="86"/>
      <c r="V15" s="86"/>
      <c r="W15" s="86"/>
      <c r="X15" s="89" t="s">
        <v>53</v>
      </c>
      <c r="Y15" s="86">
        <f>F25*12</f>
        <v>0</v>
      </c>
      <c r="Z15" s="90" t="s">
        <v>54</v>
      </c>
      <c r="AA15" s="86">
        <f>COUNTIF(D15,"○")</f>
        <v>0</v>
      </c>
      <c r="AB15" s="84"/>
      <c r="AC15" s="84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67"/>
      <c r="AR15" s="189"/>
      <c r="AS15" s="189"/>
      <c r="AT15" s="189"/>
      <c r="AU15" s="189"/>
      <c r="AV15" s="189"/>
      <c r="AW15" s="189"/>
      <c r="AX15" s="189"/>
    </row>
    <row r="16" spans="1:50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31"/>
      <c r="O16" s="236" t="s">
        <v>55</v>
      </c>
      <c r="P16" s="36"/>
      <c r="Q16" s="91">
        <f>IF(P14=1,Q14*1,IF(P14=2,Q14*1,IF(P14=3,Q14*1,IF(P14=4,Q14*0.95,IF(P14=5,Q14*0.9,IF(P14=6,Q14*0.9,IF(P14=7,Q14*0.9,IF(P14=8,Q14*0.9,Q14*0.9))))))))</f>
        <v>0</v>
      </c>
      <c r="R16" s="36"/>
      <c r="S16" s="92">
        <f>S14</f>
        <v>0</v>
      </c>
      <c r="T16" s="36"/>
      <c r="U16" s="92">
        <f>U14</f>
        <v>0</v>
      </c>
      <c r="V16" s="36"/>
      <c r="W16" s="92">
        <f>W14</f>
        <v>0</v>
      </c>
      <c r="X16" s="36"/>
      <c r="Y16" s="92">
        <f>MIN(Y15,Y6)</f>
        <v>0</v>
      </c>
      <c r="Z16" s="36"/>
      <c r="AA16" s="92">
        <f>AA14*AA15</f>
        <v>0</v>
      </c>
      <c r="AB16" s="93"/>
      <c r="AC16" s="93"/>
      <c r="AD16" s="94"/>
      <c r="AE16" s="18"/>
      <c r="AF16" s="94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67"/>
      <c r="AR16" s="189"/>
      <c r="AS16" s="189"/>
      <c r="AT16" s="189"/>
      <c r="AU16" s="189"/>
      <c r="AV16" s="189"/>
      <c r="AW16" s="189"/>
      <c r="AX16" s="189"/>
    </row>
    <row r="17" spans="1:50" ht="24.75" thickBot="1">
      <c r="A17" s="167"/>
      <c r="B17" s="167" t="s">
        <v>56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74"/>
      <c r="N17" s="31"/>
      <c r="O17" s="237"/>
      <c r="P17" s="231">
        <f>SUM(P16:AA16)</f>
        <v>0</v>
      </c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3"/>
      <c r="AB17" s="18"/>
      <c r="AC17" s="18"/>
      <c r="AD17" s="95"/>
      <c r="AE17" s="18"/>
      <c r="AF17" s="95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67"/>
      <c r="AR17" s="189"/>
      <c r="AS17" s="189"/>
      <c r="AT17" s="189"/>
      <c r="AU17" s="189"/>
      <c r="AV17" s="189"/>
      <c r="AW17" s="189"/>
      <c r="AX17" s="189"/>
    </row>
    <row r="18" spans="1:50" ht="24.75" thickBot="1">
      <c r="A18" s="167"/>
      <c r="B18" s="96" t="s">
        <v>57</v>
      </c>
      <c r="C18" s="97"/>
      <c r="D18" s="97"/>
      <c r="E18" s="98" t="s">
        <v>58</v>
      </c>
      <c r="F18" s="193">
        <f>X34</f>
        <v>0</v>
      </c>
      <c r="G18" s="167"/>
      <c r="H18" s="167"/>
      <c r="I18" s="167"/>
      <c r="J18" s="167"/>
      <c r="K18" s="167"/>
      <c r="L18" s="167"/>
      <c r="M18" s="174"/>
      <c r="N18" s="31"/>
      <c r="O18" s="18"/>
      <c r="P18" s="18"/>
      <c r="Q18" s="18"/>
      <c r="R18" s="18"/>
      <c r="V18" s="18"/>
      <c r="W18" s="18"/>
      <c r="X18" s="18"/>
      <c r="Y18" s="99"/>
      <c r="Z18" s="238"/>
      <c r="AA18" s="238"/>
      <c r="AB18" s="93"/>
      <c r="AC18" s="93"/>
      <c r="AD18" s="100"/>
      <c r="AE18" s="18"/>
      <c r="AF18" s="100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67"/>
      <c r="AR18" s="189"/>
      <c r="AS18" s="189"/>
      <c r="AT18" s="189"/>
      <c r="AU18" s="189"/>
      <c r="AV18" s="189"/>
      <c r="AW18" s="189"/>
      <c r="AX18" s="189"/>
    </row>
    <row r="19" spans="1:50" ht="24.75" thickBot="1">
      <c r="A19" s="167"/>
      <c r="B19" s="101" t="s">
        <v>59</v>
      </c>
      <c r="C19" s="102"/>
      <c r="D19" s="102"/>
      <c r="E19" s="103" t="s">
        <v>60</v>
      </c>
      <c r="F19" s="194"/>
      <c r="G19" s="200" t="s">
        <v>61</v>
      </c>
      <c r="H19" s="201"/>
      <c r="I19" s="167"/>
      <c r="J19" s="167"/>
      <c r="K19" s="167"/>
      <c r="L19" s="167"/>
      <c r="M19" s="174"/>
      <c r="N19" s="31"/>
      <c r="O19" s="45"/>
      <c r="P19" s="18"/>
      <c r="Q19" s="100"/>
      <c r="R19" s="18"/>
      <c r="V19" s="18"/>
      <c r="W19" s="18"/>
      <c r="X19" s="18"/>
      <c r="Y19" s="104" t="s">
        <v>62</v>
      </c>
      <c r="Z19" s="223">
        <f>P17*1.5</f>
        <v>0</v>
      </c>
      <c r="AA19" s="224"/>
      <c r="AB19" s="93"/>
      <c r="AC19" s="93"/>
      <c r="AD19" s="105"/>
      <c r="AE19" s="18"/>
      <c r="AF19" s="105"/>
      <c r="AG19" s="18"/>
      <c r="AH19" s="18"/>
      <c r="AI19" s="18"/>
      <c r="AK19" s="18"/>
      <c r="AL19" s="18"/>
      <c r="AM19" s="18"/>
      <c r="AN19" s="18"/>
      <c r="AO19" s="18"/>
      <c r="AP19" s="18"/>
      <c r="AQ19" s="167"/>
      <c r="AR19" s="189"/>
      <c r="AS19" s="189"/>
      <c r="AT19" s="189"/>
      <c r="AU19" s="189"/>
      <c r="AV19" s="189"/>
      <c r="AW19" s="189"/>
      <c r="AX19" s="189"/>
    </row>
    <row r="20" spans="1:50">
      <c r="A20" s="167"/>
      <c r="B20" s="106" t="s">
        <v>63</v>
      </c>
      <c r="C20" s="107"/>
      <c r="D20" s="107"/>
      <c r="E20" s="108" t="s">
        <v>64</v>
      </c>
      <c r="F20" s="195"/>
      <c r="G20" s="242">
        <f>T47</f>
        <v>0</v>
      </c>
      <c r="H20" s="243"/>
      <c r="I20" s="167"/>
      <c r="J20" s="167"/>
      <c r="K20" s="167"/>
      <c r="L20" s="167"/>
      <c r="M20" s="174"/>
      <c r="N20" s="31"/>
      <c r="O20" s="45"/>
      <c r="P20" s="18"/>
      <c r="Q20" s="100"/>
      <c r="R20" s="18"/>
      <c r="V20" s="18"/>
      <c r="W20" s="18"/>
      <c r="X20" s="18"/>
      <c r="Y20" s="45"/>
      <c r="Z20" s="100"/>
      <c r="AA20" s="100"/>
      <c r="AB20" s="93"/>
      <c r="AC20" s="93"/>
      <c r="AD20" s="100"/>
      <c r="AE20" s="18"/>
      <c r="AF20" s="100"/>
      <c r="AG20" s="18"/>
      <c r="AH20" s="18"/>
      <c r="AI20" s="18"/>
      <c r="AK20" s="18"/>
      <c r="AL20" s="18"/>
      <c r="AM20" s="18"/>
      <c r="AN20" s="18"/>
      <c r="AO20" s="18"/>
      <c r="AP20" s="18"/>
      <c r="AQ20" s="167"/>
      <c r="AR20" s="189"/>
      <c r="AS20" s="189"/>
      <c r="AT20" s="189"/>
      <c r="AU20" s="189"/>
      <c r="AV20" s="189"/>
      <c r="AW20" s="189"/>
      <c r="AX20" s="189"/>
    </row>
    <row r="21" spans="1:50">
      <c r="A21" s="167"/>
      <c r="B21" s="96" t="s">
        <v>65</v>
      </c>
      <c r="C21" s="109"/>
      <c r="D21" s="109"/>
      <c r="E21" s="110" t="s">
        <v>61</v>
      </c>
      <c r="F21" s="196"/>
      <c r="G21" s="167" t="s">
        <v>66</v>
      </c>
      <c r="H21" s="167"/>
      <c r="I21" s="167"/>
      <c r="J21" s="167"/>
      <c r="K21" s="167"/>
      <c r="L21" s="167"/>
      <c r="M21" s="174"/>
      <c r="N21" s="111"/>
      <c r="O21" s="112"/>
      <c r="P21" s="112"/>
      <c r="Q21" s="112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4"/>
      <c r="AC21" s="93"/>
      <c r="AQ21" s="168"/>
      <c r="AR21" s="189"/>
      <c r="AS21" s="189"/>
      <c r="AT21" s="189"/>
      <c r="AU21" s="189"/>
      <c r="AV21" s="189"/>
      <c r="AW21" s="189"/>
      <c r="AX21" s="189"/>
    </row>
    <row r="22" spans="1:50" ht="24.75" thickBot="1">
      <c r="A22" s="167"/>
      <c r="B22" s="244" t="s">
        <v>67</v>
      </c>
      <c r="C22" s="245"/>
      <c r="D22" s="245"/>
      <c r="E22" s="110" t="s">
        <v>61</v>
      </c>
      <c r="F22" s="197"/>
      <c r="G22" s="167"/>
      <c r="H22" s="167"/>
      <c r="I22" s="167"/>
      <c r="J22" s="167"/>
      <c r="K22" s="167"/>
      <c r="L22" s="167"/>
      <c r="M22" s="174"/>
      <c r="N22" s="115"/>
      <c r="O22" s="18"/>
      <c r="P22" s="18"/>
      <c r="Q22" s="18"/>
      <c r="AB22" s="116"/>
      <c r="AC22" s="18"/>
      <c r="AQ22" s="168"/>
      <c r="AR22" s="189"/>
      <c r="AS22" s="189"/>
      <c r="AT22" s="189"/>
      <c r="AU22" s="189"/>
      <c r="AV22" s="189"/>
      <c r="AW22" s="189"/>
      <c r="AX22" s="189"/>
    </row>
    <row r="23" spans="1:50">
      <c r="A23" s="167"/>
      <c r="B23" s="182"/>
      <c r="C23" s="183"/>
      <c r="D23" s="183"/>
      <c r="E23" s="184"/>
      <c r="F23" s="167"/>
      <c r="G23" s="167"/>
      <c r="H23" s="167"/>
      <c r="I23" s="167"/>
      <c r="J23" s="167"/>
      <c r="K23" s="167"/>
      <c r="L23" s="167"/>
      <c r="M23" s="174"/>
      <c r="N23" s="115"/>
      <c r="AB23" s="116"/>
      <c r="AC23" s="18"/>
      <c r="AQ23" s="168"/>
      <c r="AR23" s="189"/>
      <c r="AS23" s="189"/>
      <c r="AT23" s="189"/>
      <c r="AU23" s="189"/>
      <c r="AV23" s="189"/>
      <c r="AW23" s="189"/>
      <c r="AX23" s="189"/>
    </row>
    <row r="24" spans="1:50" ht="24.75" thickBot="1">
      <c r="A24" s="167"/>
      <c r="B24" s="185" t="s">
        <v>68</v>
      </c>
      <c r="C24" s="186"/>
      <c r="D24" s="186"/>
      <c r="E24" s="187"/>
      <c r="F24" s="167"/>
      <c r="G24" s="167"/>
      <c r="H24" s="167"/>
      <c r="I24" s="167"/>
      <c r="J24" s="167"/>
      <c r="K24" s="167"/>
      <c r="L24" s="167"/>
      <c r="M24" s="174"/>
      <c r="N24" s="22"/>
      <c r="O24" s="246" t="s">
        <v>69</v>
      </c>
      <c r="P24" s="246"/>
      <c r="Q24" s="246"/>
      <c r="R24" s="246"/>
      <c r="S24" s="246"/>
      <c r="T24" s="246"/>
      <c r="U24" s="246"/>
      <c r="V24" s="246"/>
      <c r="W24" s="246"/>
      <c r="AB24" s="114"/>
      <c r="AC24" s="93"/>
      <c r="AQ24" s="168"/>
      <c r="AR24" s="189"/>
      <c r="AS24" s="189"/>
      <c r="AT24" s="189"/>
      <c r="AU24" s="189"/>
      <c r="AV24" s="189"/>
      <c r="AW24" s="189"/>
      <c r="AX24" s="189"/>
    </row>
    <row r="25" spans="1:50" ht="24.75" thickBot="1">
      <c r="A25" s="168"/>
      <c r="B25" s="244" t="s">
        <v>70</v>
      </c>
      <c r="C25" s="245"/>
      <c r="D25" s="245"/>
      <c r="E25" s="110" t="s">
        <v>71</v>
      </c>
      <c r="F25" s="198"/>
      <c r="G25" s="167" t="s">
        <v>72</v>
      </c>
      <c r="H25" s="167"/>
      <c r="I25" s="167"/>
      <c r="J25" s="167"/>
      <c r="K25" s="167"/>
      <c r="L25" s="167"/>
      <c r="M25" s="174"/>
      <c r="N25" s="22"/>
      <c r="O25" s="247" t="s">
        <v>73</v>
      </c>
      <c r="P25" s="247"/>
      <c r="Q25" s="247"/>
      <c r="AB25" s="93"/>
      <c r="AC25" s="84"/>
      <c r="AQ25" s="168"/>
      <c r="AR25" s="189"/>
      <c r="AS25" s="189"/>
      <c r="AT25" s="189"/>
      <c r="AU25" s="189"/>
      <c r="AV25" s="189"/>
      <c r="AW25" s="189"/>
      <c r="AX25" s="189"/>
    </row>
    <row r="26" spans="1:50" ht="48">
      <c r="A26" s="168"/>
      <c r="B26" s="168"/>
      <c r="C26" s="168"/>
      <c r="D26" s="168"/>
      <c r="E26" s="168"/>
      <c r="F26" s="188"/>
      <c r="G26" s="167"/>
      <c r="H26" s="167"/>
      <c r="I26" s="167"/>
      <c r="J26" s="167"/>
      <c r="K26" s="167"/>
      <c r="L26" s="167"/>
      <c r="M26" s="174"/>
      <c r="N26" s="22"/>
      <c r="O26" s="33" t="s">
        <v>31</v>
      </c>
      <c r="P26" s="117" t="s">
        <v>5</v>
      </c>
      <c r="Q26" s="117" t="s">
        <v>74</v>
      </c>
      <c r="R26" s="117" t="s">
        <v>75</v>
      </c>
      <c r="S26" s="248" t="s">
        <v>76</v>
      </c>
      <c r="T26" s="262"/>
      <c r="U26" s="262"/>
      <c r="V26" s="262"/>
      <c r="W26" s="249"/>
      <c r="X26" s="248" t="s">
        <v>77</v>
      </c>
      <c r="Y26" s="249"/>
      <c r="AB26" s="18"/>
      <c r="AC26" s="18"/>
      <c r="AQ26" s="168"/>
      <c r="AR26" s="189"/>
      <c r="AS26" s="189"/>
      <c r="AT26" s="189"/>
      <c r="AU26" s="189"/>
      <c r="AV26" s="189"/>
      <c r="AW26" s="189"/>
      <c r="AX26" s="189"/>
    </row>
    <row r="27" spans="1:50">
      <c r="A27" s="168"/>
      <c r="B27" s="167" t="s">
        <v>78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75"/>
      <c r="N27" s="22"/>
      <c r="O27" s="118" t="s">
        <v>79</v>
      </c>
      <c r="P27" s="119">
        <f>COUNTIF($AF$6:$AF$13,0)</f>
        <v>0</v>
      </c>
      <c r="Q27" s="120"/>
      <c r="R27" s="120"/>
      <c r="S27" s="250" t="s">
        <v>80</v>
      </c>
      <c r="T27" s="251"/>
      <c r="U27" s="121">
        <f>IF(V27&gt;0,15000,0)</f>
        <v>0</v>
      </c>
      <c r="V27" s="122">
        <f>AI14</f>
        <v>0</v>
      </c>
      <c r="W27" s="48">
        <f>V27*U27</f>
        <v>0</v>
      </c>
      <c r="X27" s="252">
        <f>W27</f>
        <v>0</v>
      </c>
      <c r="Y27" s="253"/>
      <c r="AB27" s="19"/>
      <c r="AC27" s="93"/>
      <c r="AQ27" s="168"/>
      <c r="AR27" s="189"/>
      <c r="AS27" s="189"/>
      <c r="AT27" s="189"/>
      <c r="AU27" s="189"/>
      <c r="AV27" s="189"/>
      <c r="AW27" s="189"/>
      <c r="AX27" s="189"/>
    </row>
    <row r="28" spans="1:50">
      <c r="A28" s="168"/>
      <c r="B28" s="254" t="s">
        <v>81</v>
      </c>
      <c r="C28" s="255"/>
      <c r="D28" s="255"/>
      <c r="E28" s="255"/>
      <c r="F28" s="255"/>
      <c r="G28" s="256">
        <f>Z50</f>
        <v>0</v>
      </c>
      <c r="H28" s="257"/>
      <c r="I28" s="202" t="e">
        <f>G28/P17</f>
        <v>#DIV/0!</v>
      </c>
      <c r="J28" s="168"/>
      <c r="K28" s="168"/>
      <c r="L28" s="168"/>
      <c r="M28" s="175"/>
      <c r="N28" s="22"/>
      <c r="O28" s="123" t="s">
        <v>82</v>
      </c>
      <c r="P28" s="124">
        <f>COUNTIF($AF$6:$AF$13,1)</f>
        <v>0</v>
      </c>
      <c r="Q28" s="125">
        <v>15000</v>
      </c>
      <c r="R28" s="125">
        <f>P28*Q28*12</f>
        <v>0</v>
      </c>
      <c r="S28" s="258"/>
      <c r="T28" s="259"/>
      <c r="U28" s="126"/>
      <c r="V28" s="126"/>
      <c r="W28" s="127"/>
      <c r="X28" s="260">
        <f>R28</f>
        <v>0</v>
      </c>
      <c r="Y28" s="261"/>
      <c r="AB28" s="114"/>
      <c r="AC28" s="93"/>
      <c r="AQ28" s="168"/>
      <c r="AR28" s="189"/>
      <c r="AS28" s="189"/>
      <c r="AT28" s="189"/>
      <c r="AU28" s="189"/>
      <c r="AV28" s="189"/>
      <c r="AW28" s="189"/>
      <c r="AX28" s="189"/>
    </row>
    <row r="29" spans="1:50" ht="24.75" thickBot="1">
      <c r="A29" s="168"/>
      <c r="B29" s="254" t="s">
        <v>83</v>
      </c>
      <c r="C29" s="255"/>
      <c r="D29" s="255"/>
      <c r="E29" s="255"/>
      <c r="F29" s="255"/>
      <c r="G29" s="263">
        <f>Z19</f>
        <v>0</v>
      </c>
      <c r="H29" s="264"/>
      <c r="I29" s="168"/>
      <c r="J29" s="168"/>
      <c r="K29" s="168"/>
      <c r="L29" s="168"/>
      <c r="M29" s="168"/>
      <c r="N29" s="22"/>
      <c r="O29" s="128" t="s">
        <v>84</v>
      </c>
      <c r="P29" s="129">
        <f>COUNTIF($AF$6:$AF$13,2)</f>
        <v>0</v>
      </c>
      <c r="Q29" s="130">
        <v>15000</v>
      </c>
      <c r="R29" s="130">
        <f t="shared" ref="R29" si="19">P29*Q29*12</f>
        <v>0</v>
      </c>
      <c r="S29" s="265"/>
      <c r="T29" s="266"/>
      <c r="U29" s="131"/>
      <c r="V29" s="131"/>
      <c r="W29" s="132"/>
      <c r="X29" s="267">
        <f>R29</f>
        <v>0</v>
      </c>
      <c r="Y29" s="268"/>
      <c r="AB29" s="133"/>
      <c r="AC29" s="19"/>
      <c r="AQ29" s="168"/>
      <c r="AR29" s="189"/>
      <c r="AS29" s="189"/>
      <c r="AT29" s="189"/>
      <c r="AU29" s="189"/>
      <c r="AV29" s="189"/>
      <c r="AW29" s="189"/>
      <c r="AX29" s="189"/>
    </row>
    <row r="30" spans="1:50" ht="24.75" thickTop="1">
      <c r="A30" s="168"/>
      <c r="B30" s="269" t="s">
        <v>85</v>
      </c>
      <c r="C30" s="270"/>
      <c r="D30" s="270"/>
      <c r="E30" s="270"/>
      <c r="F30" s="270"/>
      <c r="G30" s="271" t="str">
        <f>IF(G29&gt;=G28,"認定","非認定")</f>
        <v>認定</v>
      </c>
      <c r="H30" s="272"/>
      <c r="I30" s="275" t="s">
        <v>86</v>
      </c>
      <c r="J30" s="276"/>
      <c r="K30" s="176"/>
      <c r="L30" s="176"/>
      <c r="M30" s="168"/>
      <c r="N30" s="22"/>
      <c r="O30" s="118" t="s">
        <v>87</v>
      </c>
      <c r="P30" s="119">
        <f>COUNTIF($AF$6:$AF$13,3)</f>
        <v>0</v>
      </c>
      <c r="Q30" s="277">
        <v>10000</v>
      </c>
      <c r="R30" s="280">
        <f>(P30+P31+P32+P33)*Q30*12</f>
        <v>0</v>
      </c>
      <c r="S30" s="283" t="s">
        <v>88</v>
      </c>
      <c r="T30" s="284"/>
      <c r="U30" s="121">
        <f>IF(V30&gt;0,5000,0)</f>
        <v>0</v>
      </c>
      <c r="V30" s="122">
        <f>AK14</f>
        <v>0</v>
      </c>
      <c r="W30" s="48">
        <f>V30*U30</f>
        <v>0</v>
      </c>
      <c r="X30" s="285">
        <f>R30+SUM(W30:W33)</f>
        <v>0</v>
      </c>
      <c r="Y30" s="286"/>
      <c r="Z30" s="17" t="s">
        <v>89</v>
      </c>
      <c r="AB30" s="133"/>
      <c r="AQ30" s="168"/>
      <c r="AR30" s="189"/>
      <c r="AS30" s="189"/>
      <c r="AT30" s="189"/>
      <c r="AU30" s="189"/>
      <c r="AV30" s="189"/>
      <c r="AW30" s="189"/>
      <c r="AX30" s="189"/>
    </row>
    <row r="31" spans="1:50" ht="24.75" thickBot="1">
      <c r="A31" s="168"/>
      <c r="B31" s="269"/>
      <c r="C31" s="270"/>
      <c r="D31" s="270"/>
      <c r="E31" s="270"/>
      <c r="F31" s="270"/>
      <c r="G31" s="273"/>
      <c r="H31" s="274"/>
      <c r="I31" s="275"/>
      <c r="J31" s="276"/>
      <c r="K31" s="176"/>
      <c r="L31" s="176"/>
      <c r="M31" s="168"/>
      <c r="N31" s="22"/>
      <c r="O31" s="134" t="s">
        <v>90</v>
      </c>
      <c r="P31" s="135">
        <f>COUNTIF(AF6:AF13, "&gt;=4") - COUNTIF(AF6:AF13, "&gt;６")-AN14</f>
        <v>0</v>
      </c>
      <c r="Q31" s="278"/>
      <c r="R31" s="281"/>
      <c r="S31" s="291" t="s">
        <v>91</v>
      </c>
      <c r="T31" s="292"/>
      <c r="U31" s="136">
        <f>IF(V31&gt;0,60000,0)</f>
        <v>0</v>
      </c>
      <c r="V31" s="137">
        <f>IF((AB34)&gt;0,VLOOKUP(AB34,AC32:AD38,2),0)</f>
        <v>0</v>
      </c>
      <c r="W31" s="138">
        <f>V31*U31</f>
        <v>0</v>
      </c>
      <c r="X31" s="287"/>
      <c r="Y31" s="288"/>
      <c r="Z31" s="293" t="s">
        <v>92</v>
      </c>
      <c r="AB31" s="21" t="str">
        <f>IF(F18=X34,"○","×")</f>
        <v>○</v>
      </c>
      <c r="AC31" s="139" t="s">
        <v>93</v>
      </c>
      <c r="AD31" s="17" t="s">
        <v>94</v>
      </c>
      <c r="AQ31" s="168"/>
      <c r="AR31" s="189"/>
      <c r="AS31" s="189"/>
      <c r="AT31" s="189"/>
      <c r="AU31" s="189"/>
      <c r="AV31" s="189"/>
      <c r="AW31" s="189"/>
      <c r="AX31" s="189"/>
    </row>
    <row r="32" spans="1:50" ht="24.75" customHeight="1" thickTop="1">
      <c r="A32" s="168"/>
      <c r="B32" s="190" t="s">
        <v>95</v>
      </c>
      <c r="C32" s="167"/>
      <c r="D32" s="167"/>
      <c r="E32" s="167"/>
      <c r="F32" s="167"/>
      <c r="G32" s="167"/>
      <c r="H32" s="177"/>
      <c r="I32" s="177"/>
      <c r="J32" s="177"/>
      <c r="K32" s="177"/>
      <c r="L32" s="177"/>
      <c r="M32" s="168"/>
      <c r="N32" s="22"/>
      <c r="O32" s="123" t="s">
        <v>96</v>
      </c>
      <c r="P32" s="124">
        <f>COUNTIF(AC6:AC13,"小学1年")+COUNTIF(AC6:AC13,"小学2年")+COUNTIF(AC6:AC13,"小学3年")+COUNTIF(AC6:AC13,"小学4年")+COUNTIF(AC6:AC13,"小学5年")+COUNTIF(AC6:AC13,"小学6年")</f>
        <v>0</v>
      </c>
      <c r="Q32" s="278"/>
      <c r="R32" s="281"/>
      <c r="S32" s="294" t="s">
        <v>97</v>
      </c>
      <c r="T32" s="295"/>
      <c r="U32" s="136">
        <f>IF(V32&gt;0,-5000*V30,0)</f>
        <v>0</v>
      </c>
      <c r="V32" s="137">
        <f>IF(AND(T34&gt;0,V31&gt;0,V34="該当"),T34,0)</f>
        <v>0</v>
      </c>
      <c r="W32" s="138">
        <f>U32*V32</f>
        <v>0</v>
      </c>
      <c r="X32" s="287"/>
      <c r="Y32" s="288"/>
      <c r="Z32" s="293"/>
      <c r="AC32" s="140">
        <v>1</v>
      </c>
      <c r="AF32" s="17" t="s">
        <v>47</v>
      </c>
      <c r="AQ32" s="168"/>
      <c r="AR32" s="189"/>
      <c r="AS32" s="189"/>
      <c r="AT32" s="189"/>
      <c r="AU32" s="189"/>
      <c r="AV32" s="189"/>
      <c r="AW32" s="189"/>
      <c r="AX32" s="189"/>
    </row>
    <row r="33" spans="1:50">
      <c r="A33" s="168"/>
      <c r="B33" s="177"/>
      <c r="C33" s="167"/>
      <c r="D33" s="177"/>
      <c r="E33" s="177"/>
      <c r="F33" s="177"/>
      <c r="G33" s="177"/>
      <c r="H33" s="177"/>
      <c r="I33" s="177"/>
      <c r="J33" s="177"/>
      <c r="K33" s="177"/>
      <c r="L33" s="177"/>
      <c r="M33" s="168"/>
      <c r="N33" s="22"/>
      <c r="O33" s="73" t="s">
        <v>98</v>
      </c>
      <c r="P33" s="141">
        <f>COUNTIF(AC6:AC13,"中学1年")+COUNTIF(AC6:AC13,"中学2年")+COUNTIF(AC6:AC13,"中学3年")</f>
        <v>0</v>
      </c>
      <c r="Q33" s="279"/>
      <c r="R33" s="282"/>
      <c r="S33" s="296" t="s">
        <v>99</v>
      </c>
      <c r="T33" s="297"/>
      <c r="U33" s="142">
        <f>IF(V33&gt;0,-45000,0)</f>
        <v>0</v>
      </c>
      <c r="V33" s="143">
        <f>IF(AND(T35&gt;0,V31&gt;0,V35="該当"),T35,0)</f>
        <v>0</v>
      </c>
      <c r="W33" s="144">
        <f>U33*V33</f>
        <v>0</v>
      </c>
      <c r="X33" s="289"/>
      <c r="Y33" s="290"/>
      <c r="AB33" s="17" t="s">
        <v>100</v>
      </c>
      <c r="AC33" s="140">
        <v>2</v>
      </c>
      <c r="AF33" s="17" t="s">
        <v>101</v>
      </c>
      <c r="AQ33" s="168"/>
      <c r="AR33" s="189"/>
      <c r="AS33" s="189"/>
      <c r="AT33" s="189"/>
      <c r="AU33" s="189"/>
      <c r="AV33" s="189"/>
      <c r="AW33" s="189"/>
      <c r="AX33" s="189"/>
    </row>
    <row r="34" spans="1:50">
      <c r="A34" s="168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68"/>
      <c r="N34" s="22"/>
      <c r="O34" s="145" t="s">
        <v>102</v>
      </c>
      <c r="P34" s="146">
        <f>P35-SUM(P27:P33)</f>
        <v>0</v>
      </c>
      <c r="Q34" s="147"/>
      <c r="R34" s="148"/>
      <c r="S34" s="149" t="s">
        <v>103</v>
      </c>
      <c r="T34" s="150">
        <f>IF(AJ14&gt;0,AJ14,0)</f>
        <v>0</v>
      </c>
      <c r="U34" s="303" t="s">
        <v>104</v>
      </c>
      <c r="V34" s="151" t="str">
        <f>IF(T34&gt;0,"該当","非該当")</f>
        <v>非該当</v>
      </c>
      <c r="X34" s="305">
        <f>SUM(X27:Y33)</f>
        <v>0</v>
      </c>
      <c r="Y34" s="306"/>
      <c r="AB34" s="152">
        <f>SUM(P30:P34)</f>
        <v>0</v>
      </c>
      <c r="AC34" s="140">
        <v>3</v>
      </c>
      <c r="AD34" s="17">
        <v>1</v>
      </c>
      <c r="AQ34" s="168"/>
      <c r="AR34" s="189"/>
      <c r="AS34" s="189"/>
      <c r="AT34" s="189"/>
      <c r="AU34" s="189"/>
      <c r="AV34" s="189"/>
      <c r="AW34" s="189"/>
      <c r="AX34" s="189"/>
    </row>
    <row r="35" spans="1:50">
      <c r="A35" s="168"/>
      <c r="B35" s="177"/>
      <c r="C35" s="177"/>
      <c r="D35" s="177"/>
      <c r="E35" s="177"/>
      <c r="F35" s="177"/>
      <c r="G35" s="167"/>
      <c r="H35" s="177"/>
      <c r="I35" s="177"/>
      <c r="J35" s="177"/>
      <c r="K35" s="177"/>
      <c r="L35" s="177"/>
      <c r="M35" s="168"/>
      <c r="N35" s="22"/>
      <c r="P35" s="153">
        <f>COUNTIF(AF6:AF13, "&gt;=0") - COUNTIF(AF6:AF13, "&gt;18")</f>
        <v>0</v>
      </c>
      <c r="Q35" s="147"/>
      <c r="R35" s="154"/>
      <c r="S35" s="149" t="s">
        <v>105</v>
      </c>
      <c r="T35" s="150">
        <f>IF(COUNTIF(AC6:AC13,"中学1年")&gt;0,COUNTIF(AC6:AC13,"中学1年"),0)</f>
        <v>0</v>
      </c>
      <c r="U35" s="304"/>
      <c r="V35" s="155" t="str">
        <f>IF(T35&gt;0,"該当","非該当")</f>
        <v>非該当</v>
      </c>
      <c r="X35" s="147"/>
      <c r="Y35" s="147"/>
      <c r="AB35" s="313"/>
      <c r="AC35" s="140">
        <v>4</v>
      </c>
      <c r="AD35" s="17">
        <v>2</v>
      </c>
      <c r="AQ35" s="168"/>
      <c r="AR35" s="189"/>
      <c r="AS35" s="189"/>
      <c r="AT35" s="189"/>
      <c r="AU35" s="189"/>
      <c r="AV35" s="189"/>
      <c r="AW35" s="189"/>
      <c r="AX35" s="189"/>
    </row>
    <row r="36" spans="1:50">
      <c r="A36" s="168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68"/>
      <c r="N36" s="22"/>
      <c r="P36" s="153"/>
      <c r="Q36" s="147"/>
      <c r="R36" s="154"/>
      <c r="S36" s="156"/>
      <c r="T36" s="147"/>
      <c r="U36" s="150"/>
      <c r="V36" s="157"/>
      <c r="W36" s="158"/>
      <c r="X36" s="147"/>
      <c r="Y36" s="147"/>
      <c r="AB36" s="313"/>
      <c r="AC36" s="140">
        <v>5</v>
      </c>
      <c r="AD36" s="17">
        <v>3</v>
      </c>
      <c r="AQ36" s="168"/>
      <c r="AR36" s="189"/>
      <c r="AS36" s="189"/>
      <c r="AT36" s="189"/>
      <c r="AU36" s="189"/>
      <c r="AV36" s="189"/>
      <c r="AW36" s="189"/>
      <c r="AX36" s="189"/>
    </row>
    <row r="37" spans="1:50">
      <c r="A37" s="168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68"/>
      <c r="N37" s="22"/>
      <c r="P37" s="314" t="s">
        <v>106</v>
      </c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6"/>
      <c r="AB37" s="159"/>
      <c r="AC37" s="140">
        <v>6</v>
      </c>
      <c r="AD37" s="17">
        <v>4</v>
      </c>
      <c r="AQ37" s="168"/>
      <c r="AR37" s="189"/>
      <c r="AS37" s="189"/>
      <c r="AT37" s="189"/>
      <c r="AU37" s="189"/>
      <c r="AV37" s="189"/>
      <c r="AW37" s="189"/>
      <c r="AX37" s="189"/>
    </row>
    <row r="38" spans="1:50">
      <c r="A38" s="168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68"/>
      <c r="N38" s="22"/>
      <c r="P38" s="317" t="s">
        <v>107</v>
      </c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9"/>
      <c r="AC38" s="140">
        <v>7</v>
      </c>
      <c r="AD38" s="17">
        <v>5</v>
      </c>
      <c r="AQ38" s="168"/>
      <c r="AR38" s="189"/>
      <c r="AS38" s="189"/>
      <c r="AT38" s="189"/>
      <c r="AU38" s="189"/>
      <c r="AV38" s="189"/>
      <c r="AW38" s="189"/>
      <c r="AX38" s="189"/>
    </row>
    <row r="39" spans="1:50">
      <c r="A39" s="168"/>
      <c r="B39" s="168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8"/>
      <c r="N39" s="22"/>
      <c r="P39" s="317" t="s">
        <v>108</v>
      </c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9"/>
      <c r="AB39" s="160"/>
      <c r="AQ39" s="168"/>
      <c r="AR39" s="189"/>
      <c r="AS39" s="189"/>
      <c r="AT39" s="189"/>
      <c r="AU39" s="189"/>
      <c r="AV39" s="189"/>
      <c r="AW39" s="189"/>
      <c r="AX39" s="189"/>
    </row>
    <row r="40" spans="1:50">
      <c r="A40" s="168"/>
      <c r="B40" s="168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8"/>
      <c r="N40" s="22"/>
      <c r="P40" s="317" t="s">
        <v>109</v>
      </c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9"/>
      <c r="AB40" s="160"/>
      <c r="AC40" s="160"/>
      <c r="AQ40" s="168"/>
      <c r="AR40" s="189"/>
      <c r="AS40" s="189"/>
      <c r="AT40" s="189"/>
      <c r="AU40" s="189"/>
      <c r="AV40" s="189"/>
      <c r="AW40" s="189"/>
      <c r="AX40" s="189"/>
    </row>
    <row r="41" spans="1:50">
      <c r="A41" s="168"/>
      <c r="B41" s="168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8"/>
      <c r="N41" s="22"/>
      <c r="P41" s="307" t="s">
        <v>110</v>
      </c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9"/>
      <c r="AB41" s="160"/>
      <c r="AC41" s="160"/>
      <c r="AQ41" s="168"/>
      <c r="AR41" s="189"/>
      <c r="AS41" s="189"/>
      <c r="AT41" s="189"/>
      <c r="AU41" s="189"/>
      <c r="AV41" s="189"/>
      <c r="AW41" s="189"/>
      <c r="AX41" s="189"/>
    </row>
    <row r="42" spans="1:50">
      <c r="A42" s="168"/>
      <c r="B42" s="168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8"/>
      <c r="N42" s="22"/>
      <c r="AB42" s="161">
        <v>6</v>
      </c>
      <c r="AC42" s="161" t="s">
        <v>111</v>
      </c>
      <c r="AD42" s="17" t="s">
        <v>112</v>
      </c>
      <c r="AQ42" s="168"/>
      <c r="AR42" s="189"/>
      <c r="AS42" s="189"/>
      <c r="AT42" s="189"/>
      <c r="AU42" s="189"/>
      <c r="AV42" s="189"/>
      <c r="AW42" s="189"/>
      <c r="AX42" s="189"/>
    </row>
    <row r="43" spans="1:50">
      <c r="A43" s="168"/>
      <c r="B43" s="168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8"/>
      <c r="N43" s="22"/>
      <c r="O43" s="209" t="s">
        <v>113</v>
      </c>
      <c r="P43" s="209"/>
      <c r="Q43" s="209"/>
      <c r="R43" s="209"/>
      <c r="S43" s="209"/>
      <c r="T43" s="209"/>
      <c r="U43" s="209"/>
      <c r="AB43" s="161">
        <v>7</v>
      </c>
      <c r="AC43" s="161" t="s">
        <v>114</v>
      </c>
      <c r="AD43" s="17" t="s">
        <v>115</v>
      </c>
      <c r="AQ43" s="168"/>
      <c r="AR43" s="189"/>
      <c r="AS43" s="189"/>
      <c r="AT43" s="189"/>
      <c r="AU43" s="189"/>
      <c r="AV43" s="189"/>
      <c r="AW43" s="189"/>
      <c r="AX43" s="189"/>
    </row>
    <row r="44" spans="1:50">
      <c r="A44" s="168"/>
      <c r="B44" s="168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8"/>
      <c r="N44" s="22"/>
      <c r="O44" s="310"/>
      <c r="P44" s="311"/>
      <c r="Q44" s="312"/>
      <c r="R44" s="162" t="s">
        <v>8</v>
      </c>
      <c r="S44" s="162" t="s">
        <v>48</v>
      </c>
      <c r="T44" s="310" t="s">
        <v>116</v>
      </c>
      <c r="U44" s="312"/>
      <c r="AB44" s="161">
        <v>8</v>
      </c>
      <c r="AC44" s="161" t="s">
        <v>117</v>
      </c>
      <c r="AD44" s="17" t="s">
        <v>118</v>
      </c>
      <c r="AQ44" s="168"/>
      <c r="AR44" s="189"/>
      <c r="AS44" s="189"/>
      <c r="AT44" s="189"/>
      <c r="AU44" s="189"/>
      <c r="AV44" s="189"/>
      <c r="AW44" s="189"/>
      <c r="AX44" s="189"/>
    </row>
    <row r="45" spans="1:50">
      <c r="A45" s="168"/>
      <c r="B45" s="168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8"/>
      <c r="N45" s="22"/>
      <c r="O45" s="298" t="s">
        <v>119</v>
      </c>
      <c r="P45" s="299"/>
      <c r="Q45" s="300"/>
      <c r="R45" s="163">
        <f>F20</f>
        <v>0</v>
      </c>
      <c r="S45" s="164">
        <v>10</v>
      </c>
      <c r="T45" s="301">
        <f>R45*S45</f>
        <v>0</v>
      </c>
      <c r="U45" s="302"/>
      <c r="W45" s="165"/>
      <c r="AB45" s="161">
        <v>9</v>
      </c>
      <c r="AC45" s="161" t="s">
        <v>120</v>
      </c>
      <c r="AD45" s="17" t="s">
        <v>121</v>
      </c>
      <c r="AQ45" s="168"/>
      <c r="AR45" s="189"/>
      <c r="AS45" s="189"/>
      <c r="AT45" s="189"/>
      <c r="AU45" s="189"/>
      <c r="AV45" s="189"/>
      <c r="AW45" s="189"/>
      <c r="AX45" s="189"/>
    </row>
    <row r="46" spans="1:50">
      <c r="A46" s="168"/>
      <c r="B46" s="168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8"/>
      <c r="N46" s="22"/>
      <c r="O46" s="298" t="s">
        <v>122</v>
      </c>
      <c r="P46" s="299"/>
      <c r="Q46" s="300"/>
      <c r="R46" s="163">
        <f>F19</f>
        <v>0</v>
      </c>
      <c r="S46" s="164">
        <v>2</v>
      </c>
      <c r="T46" s="301">
        <f>R46*S46</f>
        <v>0</v>
      </c>
      <c r="U46" s="302"/>
      <c r="AB46" s="161">
        <v>10</v>
      </c>
      <c r="AC46" s="161" t="s">
        <v>123</v>
      </c>
      <c r="AD46" s="17" t="s">
        <v>124</v>
      </c>
      <c r="AF46" s="147"/>
      <c r="AQ46" s="168"/>
      <c r="AR46" s="189"/>
      <c r="AS46" s="189"/>
      <c r="AT46" s="189"/>
      <c r="AU46" s="189"/>
      <c r="AV46" s="189"/>
      <c r="AW46" s="189"/>
      <c r="AX46" s="189"/>
    </row>
    <row r="47" spans="1:50">
      <c r="A47" s="168"/>
      <c r="B47" s="168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78"/>
      <c r="N47" s="22"/>
      <c r="T47" s="301">
        <f>SUM(T45:T46)</f>
        <v>0</v>
      </c>
      <c r="U47" s="302"/>
      <c r="AB47" s="161">
        <v>11</v>
      </c>
      <c r="AC47" s="161" t="s">
        <v>125</v>
      </c>
      <c r="AD47" s="17" t="s">
        <v>126</v>
      </c>
      <c r="AQ47" s="168"/>
      <c r="AR47" s="189"/>
      <c r="AS47" s="189"/>
      <c r="AT47" s="189"/>
      <c r="AU47" s="189"/>
      <c r="AV47" s="189"/>
      <c r="AW47" s="189"/>
      <c r="AX47" s="189"/>
    </row>
    <row r="48" spans="1:50">
      <c r="A48" s="168"/>
      <c r="B48" s="168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78"/>
      <c r="N48" s="22"/>
      <c r="O48" s="17" t="s">
        <v>127</v>
      </c>
      <c r="R48" s="17" t="s">
        <v>128</v>
      </c>
      <c r="AB48" s="160">
        <v>12</v>
      </c>
      <c r="AC48" s="160" t="s">
        <v>129</v>
      </c>
      <c r="AD48" s="17" t="s">
        <v>130</v>
      </c>
      <c r="AQ48" s="168"/>
      <c r="AR48" s="189"/>
      <c r="AS48" s="189"/>
      <c r="AT48" s="189"/>
      <c r="AU48" s="189"/>
      <c r="AV48" s="189"/>
      <c r="AW48" s="189"/>
      <c r="AX48" s="189"/>
    </row>
    <row r="49" spans="1:50" ht="24.75" thickBot="1">
      <c r="A49" s="168"/>
      <c r="B49" s="168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78"/>
      <c r="N49" s="22"/>
      <c r="O49" s="310" t="s">
        <v>116</v>
      </c>
      <c r="P49" s="312"/>
      <c r="R49" s="310" t="s">
        <v>116</v>
      </c>
      <c r="S49" s="312"/>
      <c r="T49" s="166"/>
      <c r="AB49" s="160">
        <v>13</v>
      </c>
      <c r="AC49" s="160" t="s">
        <v>131</v>
      </c>
      <c r="AD49" s="17" t="s">
        <v>132</v>
      </c>
      <c r="AQ49" s="168"/>
      <c r="AR49" s="189"/>
      <c r="AS49" s="189"/>
      <c r="AT49" s="189"/>
      <c r="AU49" s="189"/>
      <c r="AV49" s="189"/>
      <c r="AW49" s="189"/>
      <c r="AX49" s="189"/>
    </row>
    <row r="50" spans="1:50" ht="24.75" thickBot="1">
      <c r="A50" s="168"/>
      <c r="B50" s="168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8"/>
      <c r="N50" s="22"/>
      <c r="O50" s="301">
        <f>F21</f>
        <v>0</v>
      </c>
      <c r="P50" s="302"/>
      <c r="R50" s="301">
        <f>F22</f>
        <v>0</v>
      </c>
      <c r="S50" s="302"/>
      <c r="W50" s="310" t="s">
        <v>133</v>
      </c>
      <c r="X50" s="311"/>
      <c r="Y50" s="320"/>
      <c r="Z50" s="321">
        <f>F14-I14+X34+T47+O50+R50</f>
        <v>0</v>
      </c>
      <c r="AA50" s="322"/>
      <c r="AB50" s="160">
        <v>14</v>
      </c>
      <c r="AC50" s="160" t="s">
        <v>134</v>
      </c>
      <c r="AD50" s="17" t="s">
        <v>135</v>
      </c>
      <c r="AQ50" s="168"/>
      <c r="AR50" s="189"/>
      <c r="AS50" s="189"/>
      <c r="AT50" s="189"/>
      <c r="AU50" s="189"/>
      <c r="AV50" s="189"/>
      <c r="AW50" s="189"/>
      <c r="AX50" s="189"/>
    </row>
    <row r="51" spans="1:50">
      <c r="A51" s="168"/>
      <c r="B51" s="168"/>
      <c r="C51" s="167"/>
      <c r="D51" s="168"/>
      <c r="E51" s="168"/>
      <c r="F51" s="167"/>
      <c r="G51" s="167"/>
      <c r="H51" s="167"/>
      <c r="I51" s="167"/>
      <c r="AQ51" s="168"/>
      <c r="AR51" s="189"/>
      <c r="AS51" s="189"/>
      <c r="AT51" s="189"/>
      <c r="AU51" s="189"/>
      <c r="AV51" s="189"/>
      <c r="AW51" s="189"/>
      <c r="AX51" s="189"/>
    </row>
    <row r="52" spans="1:50">
      <c r="D52" s="17"/>
      <c r="E52" s="17"/>
    </row>
    <row r="53" spans="1:50">
      <c r="D53" s="17"/>
      <c r="E53" s="17"/>
    </row>
    <row r="54" spans="1:50">
      <c r="D54" s="17"/>
    </row>
    <row r="55" spans="1:50">
      <c r="D55" s="17"/>
    </row>
    <row r="56" spans="1:50">
      <c r="D56" s="17"/>
    </row>
    <row r="57" spans="1:50">
      <c r="D57" s="17"/>
    </row>
    <row r="58" spans="1:50">
      <c r="D58" s="17"/>
    </row>
  </sheetData>
  <sheetProtection algorithmName="SHA-512" hashValue="xumZTHcDu3ERigxl67kL+b6pA4tKxPDYJY/WJnEKwLJ7/+OsoUJVh4svKymji7EwnKQ2UqB70TSUY05Q3Du+zA==" saltValue="P+MiY8/jNSMfP0wvoWqQNA==" spinCount="100000" sheet="1" selectLockedCells="1"/>
  <mergeCells count="72">
    <mergeCell ref="W50:Y50"/>
    <mergeCell ref="Z50:AA50"/>
    <mergeCell ref="O46:Q46"/>
    <mergeCell ref="T46:U46"/>
    <mergeCell ref="T47:U47"/>
    <mergeCell ref="O49:P49"/>
    <mergeCell ref="R49:S49"/>
    <mergeCell ref="O50:P50"/>
    <mergeCell ref="R50:S50"/>
    <mergeCell ref="AB35:AB36"/>
    <mergeCell ref="P37:AA37"/>
    <mergeCell ref="P38:AA38"/>
    <mergeCell ref="P39:AA39"/>
    <mergeCell ref="P40:AA40"/>
    <mergeCell ref="Z31:Z32"/>
    <mergeCell ref="S32:T32"/>
    <mergeCell ref="S33:T33"/>
    <mergeCell ref="O45:Q45"/>
    <mergeCell ref="T45:U45"/>
    <mergeCell ref="U34:U35"/>
    <mergeCell ref="X34:Y34"/>
    <mergeCell ref="P41:AA41"/>
    <mergeCell ref="O43:U43"/>
    <mergeCell ref="O44:Q44"/>
    <mergeCell ref="T44:U44"/>
    <mergeCell ref="B29:F29"/>
    <mergeCell ref="G29:H29"/>
    <mergeCell ref="S29:T29"/>
    <mergeCell ref="X29:Y29"/>
    <mergeCell ref="B30:F31"/>
    <mergeCell ref="G30:H31"/>
    <mergeCell ref="I30:J31"/>
    <mergeCell ref="Q30:Q33"/>
    <mergeCell ref="R30:R33"/>
    <mergeCell ref="S30:T30"/>
    <mergeCell ref="X30:Y33"/>
    <mergeCell ref="S31:T31"/>
    <mergeCell ref="X26:Y26"/>
    <mergeCell ref="S27:T27"/>
    <mergeCell ref="X27:Y27"/>
    <mergeCell ref="B28:F28"/>
    <mergeCell ref="G28:H28"/>
    <mergeCell ref="S28:T28"/>
    <mergeCell ref="X28:Y28"/>
    <mergeCell ref="S26:W26"/>
    <mergeCell ref="G20:H20"/>
    <mergeCell ref="B22:D22"/>
    <mergeCell ref="O24:W24"/>
    <mergeCell ref="B25:D25"/>
    <mergeCell ref="O25:Q25"/>
    <mergeCell ref="AL4:AN4"/>
    <mergeCell ref="B15:C15"/>
    <mergeCell ref="O16:O17"/>
    <mergeCell ref="P17:AA17"/>
    <mergeCell ref="Z18:AA18"/>
    <mergeCell ref="AG4:AI4"/>
    <mergeCell ref="AJ4:AK4"/>
    <mergeCell ref="Z19:AA19"/>
    <mergeCell ref="R4:S5"/>
    <mergeCell ref="T4:W5"/>
    <mergeCell ref="X4:Y5"/>
    <mergeCell ref="Z4:AA5"/>
    <mergeCell ref="B1:C1"/>
    <mergeCell ref="O3:AA3"/>
    <mergeCell ref="B4:B5"/>
    <mergeCell ref="C4:C5"/>
    <mergeCell ref="D4:D5"/>
    <mergeCell ref="E4:E5"/>
    <mergeCell ref="F4:F5"/>
    <mergeCell ref="G4:I4"/>
    <mergeCell ref="O4:O5"/>
    <mergeCell ref="P4:Q5"/>
  </mergeCells>
  <phoneticPr fontId="3"/>
  <conditionalFormatting sqref="G30">
    <cfRule type="expression" dxfId="15" priority="16">
      <formula>G29&lt;G28</formula>
    </cfRule>
  </conditionalFormatting>
  <conditionalFormatting sqref="V27:W27 U30:W30 U36">
    <cfRule type="cellIs" dxfId="14" priority="15" operator="greaterThan">
      <formula>0</formula>
    </cfRule>
  </conditionalFormatting>
  <conditionalFormatting sqref="U31">
    <cfRule type="cellIs" dxfId="13" priority="14" operator="greaterThan">
      <formula>0</formula>
    </cfRule>
  </conditionalFormatting>
  <conditionalFormatting sqref="V31">
    <cfRule type="cellIs" dxfId="12" priority="13" operator="greaterThan">
      <formula>0</formula>
    </cfRule>
  </conditionalFormatting>
  <conditionalFormatting sqref="W31">
    <cfRule type="cellIs" dxfId="11" priority="12" operator="greaterThan">
      <formula>0</formula>
    </cfRule>
  </conditionalFormatting>
  <conditionalFormatting sqref="X34:Y34">
    <cfRule type="expression" dxfId="10" priority="11">
      <formula>$AB$31="×"</formula>
    </cfRule>
  </conditionalFormatting>
  <conditionalFormatting sqref="V33">
    <cfRule type="cellIs" dxfId="9" priority="7" operator="greaterThan">
      <formula>0</formula>
    </cfRule>
    <cfRule type="cellIs" dxfId="8" priority="10" operator="greaterThan">
      <formula>0</formula>
    </cfRule>
  </conditionalFormatting>
  <conditionalFormatting sqref="U27">
    <cfRule type="cellIs" dxfId="7" priority="9" operator="greaterThan">
      <formula>0</formula>
    </cfRule>
  </conditionalFormatting>
  <conditionalFormatting sqref="V32">
    <cfRule type="cellIs" dxfId="6" priority="8" operator="greaterThan">
      <formula>0</formula>
    </cfRule>
  </conditionalFormatting>
  <conditionalFormatting sqref="U32">
    <cfRule type="cellIs" dxfId="5" priority="6" operator="lessThan">
      <formula>0</formula>
    </cfRule>
  </conditionalFormatting>
  <conditionalFormatting sqref="U33">
    <cfRule type="cellIs" dxfId="4" priority="5" operator="lessThan">
      <formula>0</formula>
    </cfRule>
  </conditionalFormatting>
  <conditionalFormatting sqref="W32">
    <cfRule type="cellIs" dxfId="3" priority="4" operator="lessThan">
      <formula>0</formula>
    </cfRule>
  </conditionalFormatting>
  <conditionalFormatting sqref="W33">
    <cfRule type="cellIs" dxfId="2" priority="3" operator="lessThan">
      <formula>0</formula>
    </cfRule>
  </conditionalFormatting>
  <conditionalFormatting sqref="T34">
    <cfRule type="cellIs" dxfId="1" priority="2" operator="greaterThan">
      <formula>0</formula>
    </cfRule>
  </conditionalFormatting>
  <conditionalFormatting sqref="T35">
    <cfRule type="cellIs" dxfId="0" priority="1" operator="greaterThan">
      <formula>0</formula>
    </cfRule>
  </conditionalFormatting>
  <dataValidations count="2">
    <dataValidation imeMode="halfAlpha" allowBlank="1" showInputMessage="1" showErrorMessage="1" sqref="C6:C13 F6:H13" xr:uid="{8E585CDA-4610-4601-BF7F-8D8C482DAB65}"/>
    <dataValidation type="list" allowBlank="1" showInputMessage="1" showErrorMessage="1" sqref="V34:V35" xr:uid="{B3F87C1D-ADAC-419B-94F0-D55CED93DF96}">
      <formula1>$AF$32:$AF$33</formula1>
    </dataValidation>
  </dataValidations>
  <pageMargins left="0" right="0" top="0.55118110236220474" bottom="0" header="0.31496062992125984" footer="0.31496062992125984"/>
  <pageSetup paperSize="9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67B03-FC28-41E1-AB80-591D005AFEF9}">
          <x14:formula1>
            <xm:f>DB!$R$3:$R$4</xm:f>
          </x14:formula1>
          <xm:sqref>D15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DB</vt:lpstr>
      <vt:lpstr>試算シート</vt:lpstr>
      <vt:lpstr>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2023-10-10T08:23:31Z</cp:lastPrinted>
  <dcterms:created xsi:type="dcterms:W3CDTF">2023-10-10T08:16:42Z</dcterms:created>
  <dcterms:modified xsi:type="dcterms:W3CDTF">2024-03-15T08:05:04Z</dcterms:modified>
</cp:coreProperties>
</file>